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955" windowHeight="9720" tabRatio="852"/>
  </bookViews>
  <sheets>
    <sheet name="1 - March 2014 Estimates" sheetId="37" r:id="rId1"/>
    <sheet name="2 - March 2014 Estimates" sheetId="36" r:id="rId2"/>
  </sheets>
  <definedNames>
    <definedName name="_xlnm.Print_Area" localSheetId="0">'1 - March 2014 Estimates'!$A$1:$L$109</definedName>
    <definedName name="_xlnm.Print_Area" localSheetId="1">'2 - March 2014 Estimates'!$A$1:$M$109</definedName>
  </definedNames>
  <calcPr calcId="125725"/>
</workbook>
</file>

<file path=xl/calcChain.xml><?xml version="1.0" encoding="utf-8"?>
<calcChain xmlns="http://schemas.openxmlformats.org/spreadsheetml/2006/main">
  <c r="K16" i="36"/>
  <c r="K15"/>
  <c r="K14"/>
  <c r="K13"/>
  <c r="K10"/>
  <c r="K9"/>
  <c r="K8"/>
  <c r="K7"/>
  <c r="K16" i="37"/>
  <c r="K15"/>
  <c r="K14"/>
  <c r="K13"/>
  <c r="K10"/>
  <c r="K9"/>
  <c r="K8"/>
  <c r="K7"/>
  <c r="J13" i="36"/>
  <c r="J13" i="37"/>
  <c r="L22" i="36"/>
  <c r="J14" l="1"/>
  <c r="J8" s="1"/>
  <c r="J7" l="1"/>
  <c r="J14" i="37"/>
  <c r="J8" s="1"/>
  <c r="J7"/>
  <c r="K106" l="1"/>
  <c r="K107" s="1"/>
  <c r="G106"/>
  <c r="E106"/>
  <c r="D106"/>
  <c r="J97"/>
  <c r="L97" s="1"/>
  <c r="L96"/>
  <c r="J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F64"/>
  <c r="J63"/>
  <c r="H63"/>
  <c r="F63"/>
  <c r="J62"/>
  <c r="H62"/>
  <c r="F62"/>
  <c r="J61"/>
  <c r="H61"/>
  <c r="F61"/>
  <c r="J60"/>
  <c r="H60"/>
  <c r="F60"/>
  <c r="J59"/>
  <c r="H59"/>
  <c r="F59"/>
  <c r="J58"/>
  <c r="H58"/>
  <c r="F58"/>
  <c r="J57"/>
  <c r="I57"/>
  <c r="H57"/>
  <c r="F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L43" s="1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L27" s="1"/>
  <c r="H27"/>
  <c r="J26"/>
  <c r="I26"/>
  <c r="H26"/>
  <c r="J25"/>
  <c r="I25"/>
  <c r="H25"/>
  <c r="J24"/>
  <c r="I24"/>
  <c r="H24"/>
  <c r="J23"/>
  <c r="I23"/>
  <c r="H23"/>
  <c r="E107" l="1"/>
  <c r="G108"/>
  <c r="L45"/>
  <c r="L53"/>
  <c r="J106"/>
  <c r="L29"/>
  <c r="L25"/>
  <c r="I59"/>
  <c r="L59" s="1"/>
  <c r="L37"/>
  <c r="L47"/>
  <c r="L57"/>
  <c r="F106"/>
  <c r="F107" s="1"/>
  <c r="L31"/>
  <c r="L28"/>
  <c r="L33"/>
  <c r="L41"/>
  <c r="L23"/>
  <c r="L30"/>
  <c r="L48"/>
  <c r="L35"/>
  <c r="L32"/>
  <c r="L40"/>
  <c r="L50"/>
  <c r="L55"/>
  <c r="L34"/>
  <c r="L42"/>
  <c r="L39"/>
  <c r="L49"/>
  <c r="L26"/>
  <c r="L51"/>
  <c r="L56"/>
  <c r="L24"/>
  <c r="L44"/>
  <c r="L54"/>
  <c r="I91"/>
  <c r="L91" s="1"/>
  <c r="L52"/>
  <c r="L36"/>
  <c r="L46"/>
  <c r="L38"/>
  <c r="H106"/>
  <c r="H107" s="1"/>
  <c r="J15" s="1"/>
  <c r="J107"/>
  <c r="J108"/>
  <c r="E108"/>
  <c r="I60"/>
  <c r="L60" s="1"/>
  <c r="I63"/>
  <c r="L63" s="1"/>
  <c r="I69"/>
  <c r="L69" s="1"/>
  <c r="I75"/>
  <c r="L75" s="1"/>
  <c r="I81"/>
  <c r="L81" s="1"/>
  <c r="I87"/>
  <c r="L87" s="1"/>
  <c r="I93"/>
  <c r="L93" s="1"/>
  <c r="K108"/>
  <c r="I58"/>
  <c r="L58" s="1"/>
  <c r="I66"/>
  <c r="L66" s="1"/>
  <c r="I68"/>
  <c r="L68" s="1"/>
  <c r="I70"/>
  <c r="L70" s="1"/>
  <c r="I72"/>
  <c r="L72" s="1"/>
  <c r="I74"/>
  <c r="L74" s="1"/>
  <c r="I76"/>
  <c r="L76" s="1"/>
  <c r="I78"/>
  <c r="L78" s="1"/>
  <c r="I80"/>
  <c r="L80" s="1"/>
  <c r="I82"/>
  <c r="L82" s="1"/>
  <c r="I84"/>
  <c r="L84" s="1"/>
  <c r="I86"/>
  <c r="L86" s="1"/>
  <c r="I88"/>
  <c r="L88" s="1"/>
  <c r="I90"/>
  <c r="L90" s="1"/>
  <c r="I92"/>
  <c r="L92" s="1"/>
  <c r="I94"/>
  <c r="L94" s="1"/>
  <c r="I62"/>
  <c r="L62" s="1"/>
  <c r="I71"/>
  <c r="L71" s="1"/>
  <c r="I77"/>
  <c r="L77" s="1"/>
  <c r="I83"/>
  <c r="L83" s="1"/>
  <c r="I89"/>
  <c r="L89" s="1"/>
  <c r="I95"/>
  <c r="L95" s="1"/>
  <c r="I65"/>
  <c r="L65" s="1"/>
  <c r="I61"/>
  <c r="L61" s="1"/>
  <c r="G107"/>
  <c r="I67"/>
  <c r="L67" s="1"/>
  <c r="I73"/>
  <c r="L73" s="1"/>
  <c r="I79"/>
  <c r="L79" s="1"/>
  <c r="I85"/>
  <c r="L85" s="1"/>
  <c r="I64"/>
  <c r="L64" s="1"/>
  <c r="F108" l="1"/>
  <c r="H108"/>
  <c r="L106"/>
  <c r="I106"/>
  <c r="I108" l="1"/>
  <c r="I107"/>
  <c r="L108"/>
  <c r="L107"/>
  <c r="J16" l="1"/>
  <c r="J10" s="1"/>
  <c r="J9"/>
  <c r="K106" i="36" l="1"/>
  <c r="K108" s="1"/>
  <c r="G106"/>
  <c r="F106"/>
  <c r="E106"/>
  <c r="D106"/>
  <c r="J104"/>
  <c r="L104" s="1"/>
  <c r="J103"/>
  <c r="L103" s="1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L53" s="1"/>
  <c r="H53"/>
  <c r="J52"/>
  <c r="I52"/>
  <c r="H52"/>
  <c r="J51"/>
  <c r="I51"/>
  <c r="H51"/>
  <c r="J50"/>
  <c r="I50"/>
  <c r="H50"/>
  <c r="J49"/>
  <c r="I49"/>
  <c r="H49"/>
  <c r="L49" s="1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L41" s="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G108" l="1"/>
  <c r="E108"/>
  <c r="L88"/>
  <c r="L27"/>
  <c r="L35"/>
  <c r="L43"/>
  <c r="L51"/>
  <c r="L61"/>
  <c r="L90"/>
  <c r="L93"/>
  <c r="L63"/>
  <c r="L101"/>
  <c r="L45"/>
  <c r="L92"/>
  <c r="L31"/>
  <c r="L34"/>
  <c r="L39"/>
  <c r="L81"/>
  <c r="L89"/>
  <c r="L47"/>
  <c r="L52"/>
  <c r="L60"/>
  <c r="L78"/>
  <c r="L83"/>
  <c r="L86"/>
  <c r="L91"/>
  <c r="L96"/>
  <c r="L87"/>
  <c r="L28"/>
  <c r="L33"/>
  <c r="L36"/>
  <c r="L57"/>
  <c r="L80"/>
  <c r="L29"/>
  <c r="L58"/>
  <c r="L55"/>
  <c r="L76"/>
  <c r="L97"/>
  <c r="J106"/>
  <c r="J108" s="1"/>
  <c r="L38"/>
  <c r="L74"/>
  <c r="L85"/>
  <c r="L95"/>
  <c r="F108"/>
  <c r="L26"/>
  <c r="L64"/>
  <c r="L66"/>
  <c r="L68"/>
  <c r="L70"/>
  <c r="L72"/>
  <c r="L23"/>
  <c r="L62"/>
  <c r="L25"/>
  <c r="L37"/>
  <c r="L56"/>
  <c r="L75"/>
  <c r="L77"/>
  <c r="L79"/>
  <c r="L98"/>
  <c r="L100"/>
  <c r="L102"/>
  <c r="L32"/>
  <c r="L54"/>
  <c r="L65"/>
  <c r="L67"/>
  <c r="L69"/>
  <c r="L71"/>
  <c r="L73"/>
  <c r="I106"/>
  <c r="I108" s="1"/>
  <c r="L94"/>
  <c r="L30"/>
  <c r="L40"/>
  <c r="L42"/>
  <c r="L44"/>
  <c r="L46"/>
  <c r="L48"/>
  <c r="L50"/>
  <c r="L59"/>
  <c r="L82"/>
  <c r="L84"/>
  <c r="L99"/>
  <c r="H106"/>
  <c r="H108" s="1"/>
  <c r="L24"/>
  <c r="G107"/>
  <c r="K107"/>
  <c r="F107"/>
  <c r="E107"/>
  <c r="J107" l="1"/>
  <c r="I107"/>
  <c r="L106"/>
  <c r="L108" s="1"/>
  <c r="H107"/>
  <c r="J15" l="1"/>
  <c r="L107"/>
  <c r="J9" l="1"/>
  <c r="J16"/>
  <c r="J10" l="1"/>
</calcChain>
</file>

<file path=xl/sharedStrings.xml><?xml version="1.0" encoding="utf-8"?>
<sst xmlns="http://schemas.openxmlformats.org/spreadsheetml/2006/main" count="298" uniqueCount="131">
  <si>
    <t>Keeyask Generating Station</t>
  </si>
  <si>
    <t>Conawapa Generating Station</t>
  </si>
  <si>
    <t>Current Dollar Year:</t>
  </si>
  <si>
    <t>Capacity Factor:</t>
  </si>
  <si>
    <t>Discount Rate:</t>
  </si>
  <si>
    <t>Service Life:</t>
  </si>
  <si>
    <t>yrs</t>
  </si>
  <si>
    <t>Time to First Power:</t>
  </si>
  <si>
    <t>MW</t>
  </si>
  <si>
    <t>Generation (Millions of $CDN)</t>
  </si>
  <si>
    <t>Years to Earliest ISD</t>
  </si>
  <si>
    <t>Generating Station</t>
  </si>
  <si>
    <t>Trans. Station</t>
  </si>
  <si>
    <t>Trans.
 Line</t>
  </si>
  <si>
    <t>TOTAL COST</t>
  </si>
  <si>
    <t xml:space="preserve">PV = </t>
  </si>
  <si>
    <t>2019/20</t>
  </si>
  <si>
    <t>2018/19</t>
  </si>
  <si>
    <t>2017/18</t>
  </si>
  <si>
    <t>2016/17</t>
  </si>
  <si>
    <t>2015/16</t>
  </si>
  <si>
    <t>2014/15</t>
  </si>
  <si>
    <t>2013/14</t>
  </si>
  <si>
    <t>2020/21</t>
  </si>
  <si>
    <t>2021/22</t>
  </si>
  <si>
    <t>2022/23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</si>
  <si>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</si>
  <si>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</si>
  <si>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</si>
  <si>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</si>
  <si>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</si>
  <si>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</si>
  <si>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</si>
  <si>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</si>
  <si>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</si>
  <si>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</si>
  <si>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</si>
  <si>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</si>
  <si>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</si>
  <si>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</si>
  <si>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</si>
  <si>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</si>
  <si>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</si>
  <si>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</si>
  <si>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</si>
  <si>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</si>
  <si>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</si>
  <si>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</si>
  <si>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</si>
  <si>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</si>
  <si>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</si>
  <si>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</si>
  <si>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</si>
  <si>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</si>
  <si>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</si>
  <si>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</si>
  <si>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</si>
  <si>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</si>
  <si>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</si>
  <si>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</si>
  <si>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</si>
  <si>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</si>
  <si>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</si>
  <si>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</si>
  <si>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</si>
  <si>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2063/64</t>
  </si>
  <si>
    <t>2064/65</t>
  </si>
  <si>
    <t>2065/66</t>
  </si>
  <si>
    <t>2066/67</t>
  </si>
  <si>
    <t>2067/68</t>
  </si>
  <si>
    <t>2068/69</t>
  </si>
  <si>
    <t>2069/70</t>
  </si>
  <si>
    <t>2070/71</t>
  </si>
  <si>
    <t>2071/72</t>
  </si>
  <si>
    <t>2072/73</t>
  </si>
  <si>
    <t>2073/74</t>
  </si>
  <si>
    <t>2074/75</t>
  </si>
  <si>
    <t>2075/76</t>
  </si>
  <si>
    <t>2076/77</t>
  </si>
  <si>
    <t>2077/78</t>
  </si>
  <si>
    <t>2078/79</t>
  </si>
  <si>
    <t>2079/80</t>
  </si>
  <si>
    <t>2080/81</t>
  </si>
  <si>
    <t>2081/82</t>
  </si>
  <si>
    <t>2082/83</t>
  </si>
  <si>
    <t>2083/84</t>
  </si>
  <si>
    <t>2084/85</t>
  </si>
  <si>
    <t>2085/86</t>
  </si>
  <si>
    <t>2086/87</t>
  </si>
  <si>
    <t>2087/88</t>
  </si>
  <si>
    <t>2088/89</t>
  </si>
  <si>
    <t>2089/90</t>
  </si>
  <si>
    <t>2023/24</t>
  </si>
  <si>
    <t>Fiscal Year</t>
  </si>
  <si>
    <t>Heat Rate:</t>
  </si>
  <si>
    <t>Capital Tax:</t>
  </si>
  <si>
    <t>N/A</t>
  </si>
  <si>
    <t>%</t>
  </si>
  <si>
    <t>$/MW.h</t>
  </si>
  <si>
    <t>Water Rental Rate:</t>
  </si>
  <si>
    <t>Water Rentals</t>
  </si>
  <si>
    <t>2090/91</t>
  </si>
  <si>
    <t>2091/92</t>
  </si>
  <si>
    <t>2092/93</t>
  </si>
  <si>
    <t>2093/94</t>
  </si>
  <si>
    <t>Average Net Energy (GW.h)</t>
  </si>
  <si>
    <t>Nominal Capacity:</t>
  </si>
  <si>
    <t>Net Summer Capacity:</t>
  </si>
  <si>
    <t>Net Winter Capacity:</t>
  </si>
  <si>
    <t>Btu/kW.h</t>
  </si>
  <si>
    <t>N to S Trans. Adjustment:</t>
  </si>
  <si>
    <t>2014$</t>
  </si>
  <si>
    <t>Auxiliary Power:</t>
  </si>
  <si>
    <t xml:space="preserve">LCOE@Load ($/MW.h) = </t>
  </si>
  <si>
    <t xml:space="preserve">LCOE@Gen. ($/MW.h) = </t>
  </si>
  <si>
    <t>Levelized Cost of Energy</t>
  </si>
  <si>
    <t>Base Estimate:</t>
  </si>
  <si>
    <t>Overnight Capital Cost:</t>
  </si>
  <si>
    <t>$Million</t>
  </si>
  <si>
    <t>$/kW</t>
  </si>
  <si>
    <t>2094/95</t>
  </si>
  <si>
    <t>Capital Tax on GS</t>
  </si>
  <si>
    <t>Capital Tax on TL &amp; TS</t>
  </si>
  <si>
    <t>Fixed 
O&amp;M</t>
  </si>
  <si>
    <t>With Transmission</t>
  </si>
  <si>
    <t>Without Transmission</t>
  </si>
  <si>
    <t>LCOE@Gen.:</t>
  </si>
  <si>
    <t>LCOE@Load:</t>
  </si>
  <si>
    <t>Sunk</t>
  </si>
  <si>
    <t>2013$</t>
  </si>
  <si>
    <t>Undertaking #41</t>
  </si>
</sst>
</file>

<file path=xl/styles.xml><?xml version="1.0" encoding="utf-8"?>
<styleSheet xmlns="http://schemas.openxmlformats.org/spreadsheetml/2006/main">
  <numFmts count="7">
    <numFmt numFmtId="164" formatCode="&quot;$&quot;#,##0_);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%"/>
    <numFmt numFmtId="170" formatCode="mmm\ dd\,\ yyyy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0" borderId="0"/>
    <xf numFmtId="167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1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3" fillId="0" borderId="0"/>
    <xf numFmtId="170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11" applyNumberFormat="0" applyFont="0" applyFill="0" applyBorder="0" applyProtection="0"/>
  </cellStyleXfs>
  <cellXfs count="92">
    <xf numFmtId="0" fontId="0" fillId="0" borderId="0" xfId="0"/>
    <xf numFmtId="1" fontId="3" fillId="0" borderId="0" xfId="2" applyNumberFormat="1"/>
    <xf numFmtId="0" fontId="5" fillId="2" borderId="1" xfId="2" applyFont="1" applyFill="1" applyBorder="1" applyAlignment="1">
      <alignment horizontal="center" vertical="center" wrapText="1"/>
    </xf>
    <xf numFmtId="2" fontId="3" fillId="0" borderId="6" xfId="2" applyNumberFormat="1" applyFill="1" applyBorder="1"/>
    <xf numFmtId="168" fontId="3" fillId="0" borderId="0" xfId="2" applyNumberFormat="1"/>
    <xf numFmtId="0" fontId="3" fillId="2" borderId="6" xfId="2" applyFill="1" applyBorder="1" applyAlignment="1">
      <alignment horizontal="center"/>
    </xf>
    <xf numFmtId="2" fontId="3" fillId="0" borderId="10" xfId="2" applyNumberFormat="1" applyBorder="1"/>
    <xf numFmtId="0" fontId="3" fillId="0" borderId="3" xfId="2" applyBorder="1"/>
    <xf numFmtId="2" fontId="0" fillId="0" borderId="1" xfId="4" applyNumberFormat="1" applyFont="1" applyBorder="1" applyAlignment="1">
      <alignment horizontal="right"/>
    </xf>
    <xf numFmtId="2" fontId="3" fillId="0" borderId="1" xfId="2" applyNumberFormat="1" applyBorder="1"/>
    <xf numFmtId="0" fontId="8" fillId="0" borderId="0" xfId="2" applyFont="1"/>
    <xf numFmtId="2" fontId="3" fillId="0" borderId="0" xfId="2" applyNumberFormat="1" applyFont="1"/>
    <xf numFmtId="165" fontId="3" fillId="0" borderId="0" xfId="2" applyNumberFormat="1"/>
    <xf numFmtId="0" fontId="3" fillId="0" borderId="8" xfId="2" applyBorder="1"/>
    <xf numFmtId="0" fontId="5" fillId="2" borderId="4" xfId="2" applyFont="1" applyFill="1" applyBorder="1" applyAlignment="1">
      <alignment horizontal="center" vertical="center" wrapText="1"/>
    </xf>
    <xf numFmtId="0" fontId="3" fillId="0" borderId="0" xfId="2" applyBorder="1" applyAlignment="1">
      <alignment horizontal="center"/>
    </xf>
    <xf numFmtId="2" fontId="3" fillId="0" borderId="0" xfId="2" applyNumberFormat="1" applyFill="1" applyBorder="1"/>
    <xf numFmtId="0" fontId="3" fillId="0" borderId="8" xfId="2" applyBorder="1" applyAlignment="1">
      <alignment horizontal="center" vertical="center" wrapText="1"/>
    </xf>
    <xf numFmtId="0" fontId="6" fillId="0" borderId="8" xfId="2" applyFont="1" applyFill="1" applyBorder="1" applyAlignment="1"/>
    <xf numFmtId="1" fontId="3" fillId="0" borderId="6" xfId="2" applyNumberFormat="1" applyBorder="1"/>
    <xf numFmtId="0" fontId="3" fillId="0" borderId="7" xfId="2" applyBorder="1"/>
    <xf numFmtId="0" fontId="3" fillId="2" borderId="0" xfId="2" applyFill="1" applyAlignment="1">
      <alignment horizontal="center"/>
    </xf>
    <xf numFmtId="0" fontId="4" fillId="0" borderId="0" xfId="2" applyFont="1" applyAlignment="1"/>
    <xf numFmtId="0" fontId="5" fillId="0" borderId="0" xfId="2" applyFont="1" applyAlignment="1"/>
    <xf numFmtId="0" fontId="9" fillId="0" borderId="0" xfId="2" applyFont="1" applyAlignment="1"/>
    <xf numFmtId="0" fontId="3" fillId="0" borderId="0" xfId="2" applyFill="1" applyBorder="1" applyAlignment="1">
      <alignment horizontal="center"/>
    </xf>
    <xf numFmtId="0" fontId="3" fillId="0" borderId="0" xfId="2" applyBorder="1"/>
    <xf numFmtId="0" fontId="3" fillId="0" borderId="6" xfId="2" applyBorder="1"/>
    <xf numFmtId="0" fontId="3" fillId="0" borderId="10" xfId="2" applyBorder="1"/>
    <xf numFmtId="0" fontId="3" fillId="0" borderId="6" xfId="2" applyBorder="1" applyAlignment="1">
      <alignment horizontal="center"/>
    </xf>
    <xf numFmtId="0" fontId="3" fillId="0" borderId="10" xfId="2" applyBorder="1" applyAlignment="1">
      <alignment horizontal="center"/>
    </xf>
    <xf numFmtId="2" fontId="3" fillId="0" borderId="6" xfId="2" applyNumberFormat="1" applyBorder="1"/>
    <xf numFmtId="0" fontId="7" fillId="0" borderId="0" xfId="2" applyFont="1"/>
    <xf numFmtId="0" fontId="3" fillId="0" borderId="0" xfId="2"/>
    <xf numFmtId="0" fontId="6" fillId="0" borderId="0" xfId="2" applyFont="1"/>
    <xf numFmtId="0" fontId="3" fillId="0" borderId="0" xfId="2" applyAlignment="1">
      <alignment horizontal="center" vertical="center" wrapText="1"/>
    </xf>
    <xf numFmtId="0" fontId="6" fillId="0" borderId="0" xfId="2" applyFont="1" applyAlignment="1">
      <alignment horizontal="center"/>
    </xf>
    <xf numFmtId="2" fontId="3" fillId="0" borderId="0" xfId="2" applyNumberFormat="1"/>
    <xf numFmtId="0" fontId="3" fillId="0" borderId="0" xfId="2" applyFill="1"/>
    <xf numFmtId="0" fontId="3" fillId="0" borderId="6" xfId="2" applyFill="1" applyBorder="1" applyAlignment="1">
      <alignment horizontal="center"/>
    </xf>
    <xf numFmtId="0" fontId="3" fillId="0" borderId="0" xfId="2" applyFill="1" applyBorder="1"/>
    <xf numFmtId="169" fontId="3" fillId="0" borderId="0" xfId="3" applyNumberFormat="1" applyFont="1"/>
    <xf numFmtId="0" fontId="3" fillId="0" borderId="0" xfId="2" applyFont="1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/>
    </xf>
    <xf numFmtId="0" fontId="3" fillId="0" borderId="0" xfId="2" applyAlignment="1">
      <alignment horizontal="right"/>
    </xf>
    <xf numFmtId="0" fontId="3" fillId="0" borderId="0" xfId="2" applyAlignment="1">
      <alignment horizontal="center"/>
    </xf>
    <xf numFmtId="0" fontId="3" fillId="0" borderId="2" xfId="2" applyBorder="1"/>
    <xf numFmtId="1" fontId="3" fillId="2" borderId="6" xfId="2" applyNumberFormat="1" applyFill="1" applyBorder="1"/>
    <xf numFmtId="2" fontId="3" fillId="2" borderId="6" xfId="2" applyNumberFormat="1" applyFill="1" applyBorder="1"/>
    <xf numFmtId="2" fontId="3" fillId="3" borderId="1" xfId="2" applyNumberFormat="1" applyFill="1" applyBorder="1"/>
    <xf numFmtId="1" fontId="3" fillId="0" borderId="6" xfId="2" applyNumberFormat="1" applyFill="1" applyBorder="1"/>
    <xf numFmtId="2" fontId="3" fillId="0" borderId="2" xfId="2" applyNumberFormat="1" applyBorder="1"/>
    <xf numFmtId="0" fontId="3" fillId="0" borderId="9" xfId="2" applyFill="1" applyBorder="1"/>
    <xf numFmtId="0" fontId="3" fillId="0" borderId="5" xfId="2" applyBorder="1" applyAlignment="1">
      <alignment horizontal="center"/>
    </xf>
    <xf numFmtId="0" fontId="5" fillId="0" borderId="7" xfId="2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5" fillId="2" borderId="1" xfId="2" applyNumberFormat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5" fillId="0" borderId="0" xfId="2" applyFont="1" applyFill="1" applyBorder="1" applyAlignment="1"/>
    <xf numFmtId="0" fontId="5" fillId="0" borderId="0" xfId="2" applyFont="1" applyBorder="1" applyAlignment="1"/>
    <xf numFmtId="0" fontId="5" fillId="0" borderId="7" xfId="2" applyFont="1" applyFill="1" applyBorder="1" applyAlignment="1">
      <alignment horizontal="right"/>
    </xf>
    <xf numFmtId="0" fontId="9" fillId="0" borderId="0" xfId="2" applyFont="1"/>
    <xf numFmtId="0" fontId="3" fillId="0" borderId="7" xfId="2" applyBorder="1" applyAlignment="1">
      <alignment horizontal="center" vertical="center" wrapText="1"/>
    </xf>
    <xf numFmtId="0" fontId="3" fillId="0" borderId="8" xfId="2" applyBorder="1" applyAlignment="1">
      <alignment horizontal="center"/>
    </xf>
    <xf numFmtId="0" fontId="3" fillId="2" borderId="8" xfId="2" applyFill="1" applyBorder="1" applyAlignment="1">
      <alignment horizontal="center"/>
    </xf>
    <xf numFmtId="2" fontId="3" fillId="0" borderId="1" xfId="4" applyNumberFormat="1" applyFont="1" applyFill="1" applyBorder="1"/>
    <xf numFmtId="2" fontId="3" fillId="0" borderId="0" xfId="1" applyNumberFormat="1" applyFont="1"/>
    <xf numFmtId="1" fontId="3" fillId="0" borderId="1" xfId="4" applyNumberFormat="1" applyFont="1" applyFill="1" applyBorder="1"/>
    <xf numFmtId="0" fontId="3" fillId="0" borderId="0" xfId="2" applyFont="1" applyBorder="1" applyAlignment="1">
      <alignment horizontal="right"/>
    </xf>
    <xf numFmtId="0" fontId="3" fillId="0" borderId="7" xfId="2" applyFont="1" applyBorder="1" applyAlignment="1">
      <alignment horizontal="right"/>
    </xf>
    <xf numFmtId="1" fontId="0" fillId="0" borderId="5" xfId="4" applyNumberFormat="1" applyFont="1" applyBorder="1" applyAlignment="1">
      <alignment horizontal="right"/>
    </xf>
    <xf numFmtId="0" fontId="3" fillId="0" borderId="8" xfId="2" applyFill="1" applyBorder="1" applyAlignment="1">
      <alignment horizontal="center"/>
    </xf>
    <xf numFmtId="2" fontId="3" fillId="0" borderId="7" xfId="2" applyNumberFormat="1" applyBorder="1"/>
    <xf numFmtId="1" fontId="3" fillId="0" borderId="0" xfId="2" applyNumberFormat="1" applyAlignment="1">
      <alignment horizontal="center"/>
    </xf>
    <xf numFmtId="1" fontId="3" fillId="0" borderId="0" xfId="4" applyNumberFormat="1" applyFont="1" applyFill="1" applyBorder="1"/>
    <xf numFmtId="2" fontId="3" fillId="0" borderId="0" xfId="4" applyNumberFormat="1" applyFont="1" applyFill="1" applyBorder="1"/>
    <xf numFmtId="2" fontId="3" fillId="2" borderId="7" xfId="2" applyNumberFormat="1" applyFill="1" applyBorder="1"/>
    <xf numFmtId="1" fontId="3" fillId="0" borderId="0" xfId="2" applyNumberFormat="1" applyAlignment="1">
      <alignment horizontal="right"/>
    </xf>
    <xf numFmtId="1" fontId="3" fillId="0" borderId="2" xfId="2" applyNumberFormat="1" applyBorder="1" applyAlignment="1">
      <alignment horizontal="right"/>
    </xf>
    <xf numFmtId="0" fontId="5" fillId="0" borderId="0" xfId="2" applyFont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2" applyFont="1" applyBorder="1"/>
    <xf numFmtId="166" fontId="3" fillId="0" borderId="0" xfId="1" applyFont="1"/>
    <xf numFmtId="166" fontId="3" fillId="0" borderId="0" xfId="2" applyNumberFormat="1"/>
    <xf numFmtId="0" fontId="12" fillId="0" borderId="0" xfId="2" applyFont="1" applyAlignment="1">
      <alignment horizontal="right"/>
    </xf>
    <xf numFmtId="0" fontId="6" fillId="2" borderId="4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</cellXfs>
  <cellStyles count="17">
    <cellStyle name="Comma 2" xfId="6"/>
    <cellStyle name="Comma0" xfId="7"/>
    <cellStyle name="Currency" xfId="1" builtinId="4"/>
    <cellStyle name="Currency 2" xfId="4"/>
    <cellStyle name="Currency0" xfId="8"/>
    <cellStyle name="Date" xfId="9"/>
    <cellStyle name="Fixed" xfId="10"/>
    <cellStyle name="Heading 1 2" xfId="11"/>
    <cellStyle name="Heading 2 2" xfId="12"/>
    <cellStyle name="N೯rmal_Ch෩cago Fo໲ecast Elke" xfId="13"/>
    <cellStyle name="Normal" xfId="0" builtinId="0"/>
    <cellStyle name="Normal 2" xfId="2"/>
    <cellStyle name="Normal 3" xfId="5"/>
    <cellStyle name="Percent 2" xfId="3"/>
    <cellStyle name="Style 26" xfId="14"/>
    <cellStyle name="Style 27" xfId="15"/>
    <cellStyle name="Total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topLeftCell="A13" workbookViewId="0">
      <selection activeCell="P17" sqref="P17"/>
    </sheetView>
  </sheetViews>
  <sheetFormatPr defaultColWidth="9.140625" defaultRowHeight="12.75"/>
  <cols>
    <col min="1" max="1" width="9.140625" style="33"/>
    <col min="2" max="2" width="9.140625" style="46"/>
    <col min="3" max="3" width="13.140625" style="46" customWidth="1"/>
    <col min="4" max="4" width="11.28515625" style="46" customWidth="1"/>
    <col min="5" max="12" width="11.28515625" style="33" customWidth="1"/>
    <col min="13" max="13" width="11" style="33" customWidth="1"/>
    <col min="14" max="17" width="9.140625" style="33" customWidth="1"/>
    <col min="18" max="18" width="11" style="33" customWidth="1"/>
    <col min="19" max="22" width="9.140625" style="33" customWidth="1"/>
    <col min="23" max="23" width="10.140625" style="33" customWidth="1"/>
    <col min="24" max="16384" width="9.140625" style="33"/>
  </cols>
  <sheetData>
    <row r="1" spans="1:16" ht="20.25">
      <c r="A1" s="64"/>
    </row>
    <row r="3" spans="1:16" ht="26.25">
      <c r="B3" s="22" t="s">
        <v>115</v>
      </c>
      <c r="D3" s="22"/>
      <c r="E3" s="22"/>
      <c r="F3" s="22"/>
      <c r="G3" s="22"/>
      <c r="H3" s="22"/>
      <c r="I3" s="22"/>
      <c r="J3" s="22"/>
      <c r="K3" s="22"/>
      <c r="L3" s="87" t="s">
        <v>130</v>
      </c>
    </row>
    <row r="4" spans="1:16" ht="20.25" customHeight="1">
      <c r="B4" s="24" t="s">
        <v>0</v>
      </c>
      <c r="D4" s="23"/>
      <c r="L4" s="82"/>
    </row>
    <row r="5" spans="1:16">
      <c r="D5" s="33"/>
    </row>
    <row r="6" spans="1:16">
      <c r="C6" s="44" t="s">
        <v>2</v>
      </c>
      <c r="D6" s="45">
        <v>2013</v>
      </c>
      <c r="I6" s="82" t="s">
        <v>124</v>
      </c>
      <c r="J6" s="58" t="s">
        <v>129</v>
      </c>
      <c r="K6" s="58" t="s">
        <v>111</v>
      </c>
      <c r="L6" s="59"/>
      <c r="M6" s="59"/>
    </row>
    <row r="7" spans="1:16">
      <c r="C7" s="45" t="s">
        <v>4</v>
      </c>
      <c r="D7">
        <v>5.05</v>
      </c>
      <c r="E7" s="33" t="s">
        <v>97</v>
      </c>
      <c r="I7" s="71" t="s">
        <v>116</v>
      </c>
      <c r="J7" s="70">
        <f>IF(SUM(E22:G41)=J13," ",SUM(E22:G41))</f>
        <v>3698.5100533083205</v>
      </c>
      <c r="K7" s="70">
        <f>IF(SUM(E22:G41)=J13," ",J7*((1.0705/1.0505)))</f>
        <v>3768.9243332380361</v>
      </c>
      <c r="L7" s="84" t="s">
        <v>118</v>
      </c>
      <c r="M7" s="77"/>
    </row>
    <row r="8" spans="1:16">
      <c r="C8" s="45" t="s">
        <v>5</v>
      </c>
      <c r="D8" s="33">
        <v>67</v>
      </c>
      <c r="E8" s="33" t="s">
        <v>6</v>
      </c>
      <c r="I8" s="72" t="s">
        <v>117</v>
      </c>
      <c r="J8" s="70">
        <f>IF(SUM(E22:G48)/D10*1000=J14," ",SUM(E22:G48)/D10*1000)</f>
        <v>5321.5971990047774</v>
      </c>
      <c r="K8" s="70">
        <f>IF(SUM(E22:G41)/D10*1000=J14," ", J8*((1.0705/1.0505)))</f>
        <v>5422.9127096950151</v>
      </c>
      <c r="L8" s="84" t="s">
        <v>119</v>
      </c>
      <c r="M8" s="77"/>
    </row>
    <row r="9" spans="1:16">
      <c r="C9" s="44" t="s">
        <v>7</v>
      </c>
      <c r="D9" s="33">
        <v>7</v>
      </c>
      <c r="E9" s="42" t="s">
        <v>6</v>
      </c>
      <c r="I9" s="83" t="s">
        <v>126</v>
      </c>
      <c r="J9" s="68">
        <f>IF(L107=J15," ",L107)</f>
        <v>60.891868522849471</v>
      </c>
      <c r="K9" s="68">
        <f>IF(J15=L107," ",J9*((1.0705/1.0505)))</f>
        <v>62.051161593251166</v>
      </c>
      <c r="L9" s="84" t="s">
        <v>98</v>
      </c>
      <c r="M9" s="77"/>
    </row>
    <row r="10" spans="1:16">
      <c r="C10" s="45" t="s">
        <v>106</v>
      </c>
      <c r="D10" s="33">
        <v>695</v>
      </c>
      <c r="E10" s="33" t="s">
        <v>8</v>
      </c>
      <c r="I10" s="83" t="s">
        <v>127</v>
      </c>
      <c r="J10" s="68">
        <f>IF(L108=J16," ",IF(L108=L107," ",L108))</f>
        <v>66.981055375134417</v>
      </c>
      <c r="K10" s="68">
        <f>IF(J16=L108," ",IF(L108=L107," ",J10*((1.0705/1.0505))))</f>
        <v>68.256277752576281</v>
      </c>
      <c r="L10" s="84" t="s">
        <v>98</v>
      </c>
      <c r="M10" s="77"/>
    </row>
    <row r="11" spans="1:16">
      <c r="C11" s="45" t="s">
        <v>107</v>
      </c>
      <c r="D11" s="33">
        <v>630</v>
      </c>
      <c r="E11" s="33" t="s">
        <v>8</v>
      </c>
      <c r="G11" s="61"/>
      <c r="H11" s="61"/>
      <c r="L11" s="84"/>
      <c r="M11" s="77"/>
    </row>
    <row r="12" spans="1:16">
      <c r="C12" s="45" t="s">
        <v>108</v>
      </c>
      <c r="D12" s="33">
        <v>630</v>
      </c>
      <c r="E12" s="33" t="s">
        <v>8</v>
      </c>
      <c r="G12" s="62"/>
      <c r="H12" s="62"/>
      <c r="I12" s="63" t="s">
        <v>125</v>
      </c>
      <c r="J12" s="58" t="s">
        <v>129</v>
      </c>
      <c r="K12" s="58" t="s">
        <v>111</v>
      </c>
      <c r="M12" s="77"/>
    </row>
    <row r="13" spans="1:16">
      <c r="C13" s="45" t="s">
        <v>3</v>
      </c>
      <c r="D13">
        <v>60</v>
      </c>
      <c r="E13" s="33" t="s">
        <v>97</v>
      </c>
      <c r="G13" s="62"/>
      <c r="H13" s="62"/>
      <c r="I13" s="71" t="s">
        <v>116</v>
      </c>
      <c r="J13" s="70">
        <f>SUM(E22:E42)</f>
        <v>3552.7336245983201</v>
      </c>
      <c r="K13" s="70">
        <f>J13*((1.0705/1.0505))</f>
        <v>3620.3725322536902</v>
      </c>
      <c r="L13" s="84" t="s">
        <v>118</v>
      </c>
      <c r="M13" s="77"/>
    </row>
    <row r="14" spans="1:16">
      <c r="C14" s="45" t="s">
        <v>112</v>
      </c>
      <c r="D14" s="1">
        <v>0</v>
      </c>
      <c r="E14" s="33" t="s">
        <v>97</v>
      </c>
      <c r="G14" s="62"/>
      <c r="H14" s="62"/>
      <c r="I14" s="72" t="s">
        <v>117</v>
      </c>
      <c r="J14" s="70">
        <f>SUM(E22:E44)/D10*1000</f>
        <v>5111.8469418680861</v>
      </c>
      <c r="K14" s="70">
        <f>J14*((1.0705/1.0505))</f>
        <v>5209.1691111563878</v>
      </c>
      <c r="L14" s="84" t="s">
        <v>119</v>
      </c>
      <c r="M14" s="77"/>
      <c r="N14" s="84"/>
    </row>
    <row r="15" spans="1:16">
      <c r="C15" s="45" t="s">
        <v>110</v>
      </c>
      <c r="D15" s="33">
        <v>10</v>
      </c>
      <c r="E15" s="33" t="s">
        <v>97</v>
      </c>
      <c r="G15" s="62"/>
      <c r="H15" s="62"/>
      <c r="I15" s="83" t="s">
        <v>126</v>
      </c>
      <c r="J15" s="69">
        <f>E107+H107+J107+K107</f>
        <v>58.677219640663438</v>
      </c>
      <c r="K15" s="68">
        <f>J15*((1.0705/1.0505))</f>
        <v>59.794349000790298</v>
      </c>
      <c r="L15" s="84" t="s">
        <v>98</v>
      </c>
      <c r="M15" s="77"/>
      <c r="N15" s="84"/>
    </row>
    <row r="16" spans="1:16">
      <c r="C16" s="44" t="s">
        <v>95</v>
      </c>
      <c r="D16">
        <v>0.5</v>
      </c>
      <c r="E16" s="33" t="s">
        <v>97</v>
      </c>
      <c r="G16" s="62"/>
      <c r="H16" s="62"/>
      <c r="I16" s="83" t="s">
        <v>127</v>
      </c>
      <c r="J16" s="68">
        <f>IF(L108=L107," ", E108+H108+J108+K108)</f>
        <v>64.544941604729786</v>
      </c>
      <c r="K16" s="68">
        <f>IF(L108=L107," ",J16*((1.0705/1.0505)))</f>
        <v>65.773783900869333</v>
      </c>
      <c r="L16" s="84" t="s">
        <v>98</v>
      </c>
      <c r="M16" s="77"/>
      <c r="N16" s="84"/>
      <c r="P16" s="1"/>
    </row>
    <row r="17" spans="1:21">
      <c r="C17" s="44" t="s">
        <v>99</v>
      </c>
      <c r="D17" s="42">
        <v>3.3426</v>
      </c>
      <c r="E17" s="33" t="s">
        <v>98</v>
      </c>
      <c r="G17" s="62"/>
      <c r="H17" s="62"/>
      <c r="O17" s="44"/>
      <c r="P17" s="1"/>
    </row>
    <row r="18" spans="1:21">
      <c r="C18" s="45" t="s">
        <v>94</v>
      </c>
      <c r="D18" s="45" t="s">
        <v>96</v>
      </c>
      <c r="E18" s="33" t="s">
        <v>109</v>
      </c>
      <c r="K18" s="44"/>
      <c r="O18" s="44"/>
      <c r="P18" s="1"/>
    </row>
    <row r="19" spans="1:21" ht="14.25">
      <c r="C19" s="32"/>
      <c r="D19" s="33"/>
      <c r="E19" s="45"/>
      <c r="F19" s="45"/>
      <c r="O19" s="44"/>
      <c r="P19" s="1"/>
    </row>
    <row r="20" spans="1:21" s="34" customFormat="1" ht="15.75">
      <c r="B20" s="36"/>
      <c r="C20" s="36"/>
      <c r="D20" s="36"/>
      <c r="E20" s="88" t="s">
        <v>9</v>
      </c>
      <c r="F20" s="89"/>
      <c r="G20" s="89"/>
      <c r="H20" s="89"/>
      <c r="I20" s="89"/>
      <c r="J20" s="89"/>
      <c r="K20" s="89"/>
      <c r="L20" s="90"/>
    </row>
    <row r="21" spans="1:21" s="35" customFormat="1" ht="38.25">
      <c r="B21" s="14" t="s">
        <v>93</v>
      </c>
      <c r="C21" s="14" t="s">
        <v>10</v>
      </c>
      <c r="D21" s="2" t="s">
        <v>105</v>
      </c>
      <c r="E21" s="2" t="s">
        <v>11</v>
      </c>
      <c r="F21" s="2" t="s">
        <v>12</v>
      </c>
      <c r="G21" s="2" t="s">
        <v>13</v>
      </c>
      <c r="H21" s="2" t="s">
        <v>121</v>
      </c>
      <c r="I21" s="2" t="s">
        <v>122</v>
      </c>
      <c r="J21" s="2" t="s">
        <v>100</v>
      </c>
      <c r="K21" s="2" t="s">
        <v>123</v>
      </c>
      <c r="L21" s="2" t="s">
        <v>14</v>
      </c>
      <c r="M21" s="43"/>
      <c r="N21" s="43"/>
    </row>
    <row r="22" spans="1:21">
      <c r="A22" s="20"/>
      <c r="C22" s="29" t="s">
        <v>128</v>
      </c>
      <c r="D22" s="19"/>
      <c r="E22" s="31"/>
      <c r="F22" s="31"/>
      <c r="G22" s="31"/>
      <c r="H22" s="31"/>
      <c r="I22" s="31"/>
      <c r="J22" s="31"/>
      <c r="K22" s="31"/>
      <c r="L22" s="3"/>
      <c r="P22" s="4"/>
      <c r="Q22" s="4"/>
      <c r="S22" s="37"/>
      <c r="T22" s="37"/>
      <c r="U22" s="37"/>
    </row>
    <row r="23" spans="1:21">
      <c r="A23" s="20"/>
      <c r="B23" s="46" t="s">
        <v>22</v>
      </c>
      <c r="C23" s="29">
        <v>-6</v>
      </c>
      <c r="D23" s="19">
        <v>0</v>
      </c>
      <c r="E23" s="31">
        <v>0</v>
      </c>
      <c r="F23" s="31">
        <v>0</v>
      </c>
      <c r="G23" s="31">
        <v>0</v>
      </c>
      <c r="H23" s="31">
        <f>SUM($E$22:E23)*($D$16/100)</f>
        <v>0</v>
      </c>
      <c r="I23" s="31">
        <f>SUM($F$22:G23)*($D$16/100)</f>
        <v>0</v>
      </c>
      <c r="J23" s="31">
        <f>$D$17*D23/1000/1.018</f>
        <v>0</v>
      </c>
      <c r="K23" s="31">
        <v>0</v>
      </c>
      <c r="L23" s="3">
        <f t="shared" ref="L23:L86" si="0">SUM(E23:K23)</f>
        <v>0</v>
      </c>
      <c r="P23" s="4"/>
      <c r="Q23" s="4"/>
      <c r="R23" s="37"/>
      <c r="S23" s="37"/>
      <c r="T23" s="37"/>
      <c r="U23" s="37"/>
    </row>
    <row r="24" spans="1:21">
      <c r="A24" s="20"/>
      <c r="B24" s="46" t="s">
        <v>21</v>
      </c>
      <c r="C24" s="29">
        <v>-5</v>
      </c>
      <c r="D24" s="19">
        <v>0</v>
      </c>
      <c r="E24" s="31">
        <v>374.17817370779443</v>
      </c>
      <c r="F24" s="31">
        <v>1.0663936600000001</v>
      </c>
      <c r="G24" s="31">
        <v>10.234691289999997</v>
      </c>
      <c r="H24" s="31">
        <f>SUM($E$22:E24)*($D$16/100)</f>
        <v>1.8708908685389722</v>
      </c>
      <c r="I24" s="31">
        <f>SUM($F$22:G24)*($D$16/100)</f>
        <v>5.6505424749999984E-2</v>
      </c>
      <c r="J24" s="31">
        <f t="shared" ref="J24:J87" si="1">$D$17*D24/1000/1.018</f>
        <v>0</v>
      </c>
      <c r="K24" s="31">
        <v>0</v>
      </c>
      <c r="L24" s="3">
        <f t="shared" si="0"/>
        <v>387.40665495108345</v>
      </c>
      <c r="O24" s="37"/>
      <c r="P24" s="4"/>
      <c r="Q24" s="4"/>
      <c r="R24" s="37"/>
      <c r="S24" s="37"/>
      <c r="T24" s="37"/>
      <c r="U24" s="37"/>
    </row>
    <row r="25" spans="1:21">
      <c r="A25" s="20"/>
      <c r="B25" s="46" t="s">
        <v>20</v>
      </c>
      <c r="C25" s="29">
        <v>-4</v>
      </c>
      <c r="D25" s="19">
        <v>0</v>
      </c>
      <c r="E25" s="31">
        <v>645.35666258741855</v>
      </c>
      <c r="F25" s="31">
        <v>0.42038733</v>
      </c>
      <c r="G25" s="31">
        <v>8.4568416200000005</v>
      </c>
      <c r="H25" s="31">
        <f>SUM($E$22:E25)*($D$16/100)</f>
        <v>5.0976741814760649</v>
      </c>
      <c r="I25" s="31">
        <f>SUM($F$22:G25)*($D$16/100)</f>
        <v>0.1008915695</v>
      </c>
      <c r="J25" s="31">
        <f t="shared" si="1"/>
        <v>0</v>
      </c>
      <c r="K25" s="31">
        <v>0</v>
      </c>
      <c r="L25" s="3">
        <f t="shared" si="0"/>
        <v>659.43245728839463</v>
      </c>
      <c r="O25" s="37"/>
      <c r="P25" s="4"/>
      <c r="Q25" s="4"/>
      <c r="R25" s="37"/>
      <c r="S25" s="37"/>
      <c r="T25" s="37"/>
      <c r="U25" s="37"/>
    </row>
    <row r="26" spans="1:21">
      <c r="A26" s="20"/>
      <c r="B26" s="46" t="s">
        <v>19</v>
      </c>
      <c r="C26" s="29">
        <v>-3</v>
      </c>
      <c r="D26" s="19">
        <v>0</v>
      </c>
      <c r="E26" s="31">
        <v>712.92283477097715</v>
      </c>
      <c r="F26" s="31">
        <v>14.706364260000001</v>
      </c>
      <c r="G26" s="31">
        <v>1.15597912</v>
      </c>
      <c r="H26" s="31">
        <f>SUM($E$22:E26)*($D$16/100)</f>
        <v>8.6622883553309507</v>
      </c>
      <c r="I26" s="31">
        <f>SUM($F$22:G26)*($D$16/100)</f>
        <v>0.1802032864</v>
      </c>
      <c r="J26" s="31">
        <f t="shared" si="1"/>
        <v>0</v>
      </c>
      <c r="K26" s="31">
        <v>0</v>
      </c>
      <c r="L26" s="3">
        <f t="shared" si="0"/>
        <v>737.62766979270805</v>
      </c>
      <c r="O26" s="37"/>
      <c r="P26" s="4"/>
      <c r="Q26" s="4"/>
      <c r="R26" s="37"/>
      <c r="S26" s="37"/>
      <c r="T26" s="37"/>
      <c r="U26" s="37"/>
    </row>
    <row r="27" spans="1:21">
      <c r="A27" s="20"/>
      <c r="B27" s="46" t="s">
        <v>18</v>
      </c>
      <c r="C27" s="29">
        <v>-2</v>
      </c>
      <c r="D27" s="19">
        <v>0</v>
      </c>
      <c r="E27" s="31">
        <v>873.84549710439194</v>
      </c>
      <c r="F27" s="31">
        <v>18.342845189999998</v>
      </c>
      <c r="G27" s="31">
        <v>10.81487847</v>
      </c>
      <c r="H27" s="31">
        <f>SUM($E$22:E27)*($D$16/100)</f>
        <v>13.03151584085291</v>
      </c>
      <c r="I27" s="31">
        <f>SUM($F$22:G27)*($D$16/100)</f>
        <v>0.32599190469999995</v>
      </c>
      <c r="J27" s="31">
        <f t="shared" si="1"/>
        <v>0</v>
      </c>
      <c r="K27" s="31">
        <v>0</v>
      </c>
      <c r="L27" s="3">
        <f t="shared" si="0"/>
        <v>916.36072850994492</v>
      </c>
      <c r="O27" s="37"/>
      <c r="P27" s="4"/>
      <c r="Q27" s="4"/>
      <c r="S27" s="37"/>
      <c r="T27" s="37"/>
      <c r="U27" s="37"/>
    </row>
    <row r="28" spans="1:21">
      <c r="A28" s="20"/>
      <c r="B28" s="46" t="s">
        <v>17</v>
      </c>
      <c r="C28" s="29">
        <v>-1</v>
      </c>
      <c r="D28" s="19">
        <v>0</v>
      </c>
      <c r="E28" s="31">
        <v>500.89975994239154</v>
      </c>
      <c r="F28" s="31">
        <v>19.210032609999999</v>
      </c>
      <c r="G28" s="31">
        <v>22.301214909999999</v>
      </c>
      <c r="H28" s="31">
        <f>SUM($E$22:E28)*($D$16/100)</f>
        <v>15.536014640564868</v>
      </c>
      <c r="I28" s="31">
        <f>SUM($F$22:G28)*($D$16/100)</f>
        <v>0.53354814229999992</v>
      </c>
      <c r="J28" s="31">
        <f t="shared" si="1"/>
        <v>0</v>
      </c>
      <c r="K28" s="31">
        <v>0</v>
      </c>
      <c r="L28" s="3">
        <f t="shared" si="0"/>
        <v>558.48057024525644</v>
      </c>
      <c r="O28" s="37"/>
      <c r="P28" s="4"/>
      <c r="Q28" s="4"/>
      <c r="S28" s="37"/>
      <c r="T28" s="37"/>
      <c r="U28" s="37"/>
    </row>
    <row r="29" spans="1:21">
      <c r="A29" s="20"/>
      <c r="B29" s="21" t="s">
        <v>16</v>
      </c>
      <c r="C29" s="5">
        <v>0</v>
      </c>
      <c r="D29" s="48">
        <v>1371</v>
      </c>
      <c r="E29" s="49">
        <v>253.39547551853025</v>
      </c>
      <c r="F29" s="49">
        <v>16.39075794</v>
      </c>
      <c r="G29" s="49">
        <v>22.66744856</v>
      </c>
      <c r="H29" s="49">
        <f>SUM($E$22:E29)*($D$16/100)</f>
        <v>16.802992018157521</v>
      </c>
      <c r="I29" s="49">
        <f>SUM($F$22:G29)*($D$16/100)</f>
        <v>0.72883917479999993</v>
      </c>
      <c r="J29" s="49">
        <f t="shared" si="1"/>
        <v>4.5016744597249509</v>
      </c>
      <c r="K29" s="49">
        <v>16.269108794889625</v>
      </c>
      <c r="L29" s="49">
        <f>SUM(E29:K29)</f>
        <v>330.75629646610236</v>
      </c>
      <c r="O29" s="37"/>
      <c r="P29" s="4"/>
      <c r="Q29" s="4"/>
      <c r="S29" s="37"/>
      <c r="T29" s="37"/>
      <c r="U29" s="37"/>
    </row>
    <row r="30" spans="1:21">
      <c r="A30" s="20"/>
      <c r="B30" s="46" t="s">
        <v>23</v>
      </c>
      <c r="C30" s="29">
        <v>1</v>
      </c>
      <c r="D30" s="19">
        <v>3955</v>
      </c>
      <c r="E30" s="3">
        <v>134.06428470983195</v>
      </c>
      <c r="F30" s="3">
        <v>0</v>
      </c>
      <c r="G30" s="3">
        <v>8.5937500000000007E-3</v>
      </c>
      <c r="H30" s="3">
        <f>SUM($E$22:E30)*($D$16/100)</f>
        <v>17.473313441706679</v>
      </c>
      <c r="I30" s="3">
        <f>SUM($F$22:G30)*($D$16/100)</f>
        <v>0.72888214354999992</v>
      </c>
      <c r="J30" s="3">
        <f t="shared" si="1"/>
        <v>12.986230844793713</v>
      </c>
      <c r="K30" s="3">
        <v>16.360382644663105</v>
      </c>
      <c r="L30" s="3">
        <f t="shared" si="0"/>
        <v>181.62168753454546</v>
      </c>
      <c r="O30" s="37"/>
      <c r="P30" s="4"/>
      <c r="Q30" s="4"/>
      <c r="S30" s="37"/>
      <c r="T30" s="37"/>
      <c r="U30" s="37"/>
    </row>
    <row r="31" spans="1:21">
      <c r="A31" s="20"/>
      <c r="B31" s="46" t="s">
        <v>24</v>
      </c>
      <c r="C31" s="29">
        <v>2</v>
      </c>
      <c r="D31" s="19">
        <v>4430</v>
      </c>
      <c r="E31" s="31">
        <v>58.070936256984368</v>
      </c>
      <c r="F31" s="31">
        <v>0</v>
      </c>
      <c r="G31" s="31"/>
      <c r="H31" s="31">
        <f>SUM($E$22:E31)*($D$16/100)</f>
        <v>17.7636681229916</v>
      </c>
      <c r="I31" s="31">
        <f>SUM($F$22:G31)*($D$16/100)</f>
        <v>0.72888214354999992</v>
      </c>
      <c r="J31" s="31">
        <f t="shared" si="1"/>
        <v>14.545891944990178</v>
      </c>
      <c r="K31" s="31">
        <v>15.962491235097175</v>
      </c>
      <c r="L31" s="3">
        <f t="shared" si="0"/>
        <v>107.07186970361332</v>
      </c>
      <c r="P31" s="4"/>
      <c r="Q31" s="4"/>
      <c r="S31" s="37"/>
      <c r="T31" s="37"/>
      <c r="U31" s="37"/>
    </row>
    <row r="32" spans="1:21">
      <c r="A32" s="20"/>
      <c r="B32" s="46" t="s">
        <v>25</v>
      </c>
      <c r="C32" s="29">
        <v>3</v>
      </c>
      <c r="D32" s="19">
        <v>4430</v>
      </c>
      <c r="E32" s="31"/>
      <c r="F32" s="31">
        <v>0</v>
      </c>
      <c r="G32" s="20"/>
      <c r="H32" s="31">
        <f>SUM($E$22:E32)*($D$16/100)</f>
        <v>17.7636681229916</v>
      </c>
      <c r="I32" s="31">
        <f>SUM($F$22:G32)*($D$16/100)</f>
        <v>0.72888214354999992</v>
      </c>
      <c r="J32" s="31">
        <f t="shared" si="1"/>
        <v>14.545891944990178</v>
      </c>
      <c r="K32" s="31">
        <v>16.175350148697177</v>
      </c>
      <c r="L32" s="3">
        <f t="shared" si="0"/>
        <v>49.21379236022895</v>
      </c>
      <c r="M32" s="41"/>
      <c r="N32" s="41"/>
      <c r="P32" s="4"/>
      <c r="Q32" s="4"/>
      <c r="S32" s="37"/>
      <c r="T32" s="37"/>
      <c r="U32" s="37"/>
    </row>
    <row r="33" spans="1:21">
      <c r="A33" s="20"/>
      <c r="B33" s="46" t="s">
        <v>92</v>
      </c>
      <c r="C33" s="29">
        <v>4</v>
      </c>
      <c r="D33" s="19">
        <v>4430</v>
      </c>
      <c r="E33" s="31"/>
      <c r="F33" s="31">
        <v>0</v>
      </c>
      <c r="G33" s="20"/>
      <c r="H33" s="31">
        <f>SUM($E$22:E33)*($D$16/100)</f>
        <v>17.7636681229916</v>
      </c>
      <c r="I33" s="31">
        <f>SUM($F$22:G33)*($D$16/100)</f>
        <v>0.72888214354999992</v>
      </c>
      <c r="J33" s="31">
        <f t="shared" si="1"/>
        <v>14.545891944990178</v>
      </c>
      <c r="K33" s="31">
        <v>16.005063017817175</v>
      </c>
      <c r="L33" s="3">
        <f t="shared" si="0"/>
        <v>49.043505229348952</v>
      </c>
      <c r="M33" s="41"/>
      <c r="N33" s="41"/>
      <c r="S33" s="37"/>
      <c r="U33" s="37"/>
    </row>
    <row r="34" spans="1:21">
      <c r="A34" s="20"/>
      <c r="B34" s="46" t="s">
        <v>26</v>
      </c>
      <c r="C34" s="29">
        <v>5</v>
      </c>
      <c r="D34" s="19">
        <v>4430</v>
      </c>
      <c r="E34" s="31"/>
      <c r="F34" s="31">
        <v>0</v>
      </c>
      <c r="G34" s="20"/>
      <c r="H34" s="31">
        <f>SUM($E$22:E34)*($D$16/100)</f>
        <v>17.7636681229916</v>
      </c>
      <c r="I34" s="31">
        <f>SUM($F$22:G34)*($D$16/100)</f>
        <v>0.72888214354999992</v>
      </c>
      <c r="J34" s="31">
        <f t="shared" si="1"/>
        <v>14.545891944990178</v>
      </c>
      <c r="K34" s="31">
        <v>15.848260598411247</v>
      </c>
      <c r="L34" s="3">
        <f t="shared" si="0"/>
        <v>48.886702809943017</v>
      </c>
      <c r="M34" s="41"/>
      <c r="N34" s="41"/>
    </row>
    <row r="35" spans="1:21">
      <c r="A35" s="20"/>
      <c r="B35" s="46" t="s">
        <v>27</v>
      </c>
      <c r="C35" s="29">
        <v>6</v>
      </c>
      <c r="D35" s="19">
        <v>4430</v>
      </c>
      <c r="E35" s="31"/>
      <c r="F35" s="31">
        <v>0</v>
      </c>
      <c r="G35" s="20"/>
      <c r="H35" s="31">
        <f>SUM($E$22:E35)*($D$16/100)</f>
        <v>17.7636681229916</v>
      </c>
      <c r="I35" s="31">
        <f>SUM($F$22:G35)*($D$16/100)</f>
        <v>0.72888214354999992</v>
      </c>
      <c r="J35" s="31">
        <f t="shared" si="1"/>
        <v>14.545891944990178</v>
      </c>
      <c r="K35" s="31">
        <v>15.614115793451248</v>
      </c>
      <c r="L35" s="3">
        <f t="shared" si="0"/>
        <v>48.652558004983021</v>
      </c>
      <c r="M35" s="41"/>
      <c r="N35" s="41"/>
    </row>
    <row r="36" spans="1:21">
      <c r="A36" s="20"/>
      <c r="B36" s="46" t="s">
        <v>28</v>
      </c>
      <c r="C36" s="29">
        <v>7</v>
      </c>
      <c r="D36" s="19">
        <v>4430</v>
      </c>
      <c r="E36" s="31"/>
      <c r="F36" s="31">
        <v>0</v>
      </c>
      <c r="G36" s="20"/>
      <c r="H36" s="31">
        <f>SUM($E$22:E36)*($D$16/100)</f>
        <v>17.7636681229916</v>
      </c>
      <c r="I36" s="31">
        <f>SUM($F$22:G36)*($D$16/100)</f>
        <v>0.72888214354999992</v>
      </c>
      <c r="J36" s="31">
        <f t="shared" si="1"/>
        <v>14.545891944990178</v>
      </c>
      <c r="K36" s="31">
        <v>15.188397966251248</v>
      </c>
      <c r="L36" s="3">
        <f t="shared" si="0"/>
        <v>48.226840177783018</v>
      </c>
      <c r="M36" s="41"/>
      <c r="N36" s="41"/>
    </row>
    <row r="37" spans="1:21">
      <c r="A37" s="20"/>
      <c r="B37" s="46" t="s">
        <v>29</v>
      </c>
      <c r="C37" s="29">
        <v>8</v>
      </c>
      <c r="D37" s="19">
        <v>4430</v>
      </c>
      <c r="E37" s="31"/>
      <c r="F37" s="31">
        <v>0</v>
      </c>
      <c r="G37" s="20"/>
      <c r="H37" s="31">
        <f>SUM($E$22:E37)*($D$16/100)</f>
        <v>17.7636681229916</v>
      </c>
      <c r="I37" s="31">
        <f>SUM($F$22:G37)*($D$16/100)</f>
        <v>0.72888214354999992</v>
      </c>
      <c r="J37" s="31">
        <f t="shared" si="1"/>
        <v>14.545891944990178</v>
      </c>
      <c r="K37" s="31">
        <v>15.188397966251248</v>
      </c>
      <c r="L37" s="3">
        <f t="shared" si="0"/>
        <v>48.226840177783018</v>
      </c>
      <c r="M37" s="41"/>
      <c r="N37" s="41"/>
    </row>
    <row r="38" spans="1:21">
      <c r="A38" s="20"/>
      <c r="B38" s="46" t="s">
        <v>30</v>
      </c>
      <c r="C38" s="29">
        <v>9</v>
      </c>
      <c r="D38" s="19">
        <v>4430</v>
      </c>
      <c r="E38" s="31"/>
      <c r="F38" s="31">
        <v>0</v>
      </c>
      <c r="G38" s="20"/>
      <c r="H38" s="31">
        <f>SUM($E$22:E38)*($D$16/100)</f>
        <v>17.7636681229916</v>
      </c>
      <c r="I38" s="31">
        <f>SUM($F$22:G38)*($D$16/100)</f>
        <v>0.72888214354999992</v>
      </c>
      <c r="J38" s="31">
        <f t="shared" si="1"/>
        <v>14.545891944990178</v>
      </c>
      <c r="K38" s="31">
        <v>15.230969748971246</v>
      </c>
      <c r="L38" s="3">
        <f t="shared" si="0"/>
        <v>48.269411960503021</v>
      </c>
      <c r="M38" s="41"/>
      <c r="N38" s="41"/>
    </row>
    <row r="39" spans="1:21">
      <c r="A39" s="20"/>
      <c r="B39" s="46" t="s">
        <v>31</v>
      </c>
      <c r="C39" s="29">
        <v>10</v>
      </c>
      <c r="D39" s="19">
        <v>4430</v>
      </c>
      <c r="E39" s="31"/>
      <c r="F39" s="31">
        <v>0</v>
      </c>
      <c r="G39" s="20"/>
      <c r="H39" s="31">
        <f>SUM($E$22:E39)*($D$16/100)</f>
        <v>17.7636681229916</v>
      </c>
      <c r="I39" s="31">
        <f>SUM($F$22:G39)*($D$16/100)</f>
        <v>0.72888214354999992</v>
      </c>
      <c r="J39" s="31">
        <f t="shared" si="1"/>
        <v>14.545891944990178</v>
      </c>
      <c r="K39" s="31">
        <v>17.874740100198828</v>
      </c>
      <c r="L39" s="3">
        <f t="shared" si="0"/>
        <v>50.913182311730601</v>
      </c>
      <c r="M39" s="41"/>
      <c r="N39" s="41"/>
    </row>
    <row r="40" spans="1:21">
      <c r="A40" s="20"/>
      <c r="B40" s="46" t="s">
        <v>32</v>
      </c>
      <c r="C40" s="29">
        <v>11</v>
      </c>
      <c r="D40" s="19">
        <v>4430</v>
      </c>
      <c r="E40" s="31"/>
      <c r="F40" s="31">
        <v>0</v>
      </c>
      <c r="G40" s="20"/>
      <c r="H40" s="31">
        <f>SUM($E$22:E40)*($D$16/100)</f>
        <v>17.7636681229916</v>
      </c>
      <c r="I40" s="31">
        <f>SUM($F$22:G40)*($D$16/100)</f>
        <v>0.72888214354999992</v>
      </c>
      <c r="J40" s="31">
        <f t="shared" si="1"/>
        <v>14.545891944990178</v>
      </c>
      <c r="K40" s="31">
        <v>14.017697966251248</v>
      </c>
      <c r="L40" s="3">
        <f t="shared" si="0"/>
        <v>47.056140177783021</v>
      </c>
      <c r="M40" s="41"/>
      <c r="N40" s="41"/>
    </row>
    <row r="41" spans="1:21">
      <c r="A41" s="20"/>
      <c r="B41" s="46" t="s">
        <v>33</v>
      </c>
      <c r="C41" s="29">
        <v>12</v>
      </c>
      <c r="D41" s="19">
        <v>4430</v>
      </c>
      <c r="E41" s="31"/>
      <c r="F41" s="31">
        <v>0</v>
      </c>
      <c r="G41" s="20"/>
      <c r="H41" s="31">
        <f>SUM($E$22:E41)*($D$16/100)</f>
        <v>17.7636681229916</v>
      </c>
      <c r="I41" s="31">
        <f>SUM($F$22:G41)*($D$16/100)</f>
        <v>0.72888214354999992</v>
      </c>
      <c r="J41" s="31">
        <f t="shared" si="1"/>
        <v>14.545891944990178</v>
      </c>
      <c r="K41" s="31">
        <v>14.017697966251248</v>
      </c>
      <c r="L41" s="3">
        <f t="shared" si="0"/>
        <v>47.056140177783021</v>
      </c>
      <c r="M41" s="41"/>
      <c r="N41" s="41"/>
    </row>
    <row r="42" spans="1:21">
      <c r="A42" s="20"/>
      <c r="B42" s="46" t="s">
        <v>34</v>
      </c>
      <c r="C42" s="29">
        <v>13</v>
      </c>
      <c r="D42" s="19">
        <v>4430</v>
      </c>
      <c r="E42" s="31"/>
      <c r="F42" s="31">
        <v>0</v>
      </c>
      <c r="G42" s="20"/>
      <c r="H42" s="31">
        <f>SUM($E$22:E42)*($D$16/100)</f>
        <v>17.7636681229916</v>
      </c>
      <c r="I42" s="31">
        <f>SUM($F$22:G42)*($D$16/100)</f>
        <v>0.72888214354999992</v>
      </c>
      <c r="J42" s="31">
        <f t="shared" si="1"/>
        <v>14.545891944990178</v>
      </c>
      <c r="K42" s="31">
        <v>14.017697966251248</v>
      </c>
      <c r="L42" s="3">
        <f t="shared" si="0"/>
        <v>47.056140177783021</v>
      </c>
      <c r="M42" s="41"/>
      <c r="N42" s="41"/>
    </row>
    <row r="43" spans="1:21">
      <c r="A43" s="20"/>
      <c r="B43" s="46" t="s">
        <v>35</v>
      </c>
      <c r="C43" s="29">
        <v>14</v>
      </c>
      <c r="D43" s="19">
        <v>4430</v>
      </c>
      <c r="E43" s="31"/>
      <c r="F43" s="31">
        <v>0</v>
      </c>
      <c r="G43" s="20"/>
      <c r="H43" s="31">
        <f>SUM($E$22:E43)*($D$16/100)</f>
        <v>17.7636681229916</v>
      </c>
      <c r="I43" s="31">
        <f>SUM($F$22:G43)*($D$16/100)</f>
        <v>0.72888214354999992</v>
      </c>
      <c r="J43" s="31">
        <f t="shared" si="1"/>
        <v>14.545891944990178</v>
      </c>
      <c r="K43" s="31">
        <v>14.017697966251248</v>
      </c>
      <c r="L43" s="3">
        <f t="shared" si="0"/>
        <v>47.056140177783021</v>
      </c>
      <c r="M43" s="41"/>
      <c r="N43" s="41"/>
    </row>
    <row r="44" spans="1:21">
      <c r="A44" s="20"/>
      <c r="B44" s="46" t="s">
        <v>36</v>
      </c>
      <c r="C44" s="29">
        <v>15</v>
      </c>
      <c r="D44" s="19">
        <v>4430</v>
      </c>
      <c r="E44" s="31"/>
      <c r="F44" s="31">
        <v>0</v>
      </c>
      <c r="G44" s="20"/>
      <c r="H44" s="31">
        <f>SUM($E$22:E44)*($D$16/100)</f>
        <v>17.7636681229916</v>
      </c>
      <c r="I44" s="31">
        <f>SUM($F$22:G44)*($D$16/100)</f>
        <v>0.72888214354999992</v>
      </c>
      <c r="J44" s="31">
        <f t="shared" si="1"/>
        <v>14.545891944990178</v>
      </c>
      <c r="K44" s="31">
        <v>14.017697966251248</v>
      </c>
      <c r="L44" s="3">
        <f t="shared" si="0"/>
        <v>47.056140177783021</v>
      </c>
      <c r="M44" s="41"/>
      <c r="N44" s="41"/>
    </row>
    <row r="45" spans="1:21">
      <c r="A45" s="20"/>
      <c r="B45" s="46" t="s">
        <v>37</v>
      </c>
      <c r="C45" s="29">
        <v>16</v>
      </c>
      <c r="D45" s="19">
        <v>4430</v>
      </c>
      <c r="E45" s="31"/>
      <c r="F45" s="31">
        <v>0</v>
      </c>
      <c r="G45" s="20"/>
      <c r="H45" s="31">
        <f>SUM($E$22:E45)*($D$16/100)</f>
        <v>17.7636681229916</v>
      </c>
      <c r="I45" s="31">
        <f>SUM($F$22:G45)*($D$16/100)</f>
        <v>0.72888214354999992</v>
      </c>
      <c r="J45" s="31">
        <f t="shared" si="1"/>
        <v>14.545891944990178</v>
      </c>
      <c r="K45" s="31">
        <v>13.371937237117248</v>
      </c>
      <c r="L45" s="3">
        <f t="shared" si="0"/>
        <v>46.410379448649024</v>
      </c>
      <c r="M45" s="41"/>
      <c r="N45" s="41"/>
    </row>
    <row r="46" spans="1:21">
      <c r="A46" s="20"/>
      <c r="B46" s="46" t="s">
        <v>38</v>
      </c>
      <c r="C46" s="29">
        <v>17</v>
      </c>
      <c r="D46" s="19">
        <v>4430</v>
      </c>
      <c r="E46" s="31"/>
      <c r="F46" s="31">
        <v>0</v>
      </c>
      <c r="G46" s="20"/>
      <c r="H46" s="31">
        <f>SUM($E$22:E46)*($D$16/100)</f>
        <v>17.7636681229916</v>
      </c>
      <c r="I46" s="31">
        <f>SUM($F$22:G46)*($D$16/100)</f>
        <v>0.72888214354999992</v>
      </c>
      <c r="J46" s="31">
        <f t="shared" si="1"/>
        <v>14.545891944990178</v>
      </c>
      <c r="K46" s="31">
        <v>13.371937237117248</v>
      </c>
      <c r="L46" s="3">
        <f t="shared" si="0"/>
        <v>46.410379448649024</v>
      </c>
      <c r="M46" s="41"/>
      <c r="N46" s="41"/>
    </row>
    <row r="47" spans="1:21">
      <c r="A47" s="20"/>
      <c r="B47" s="46" t="s">
        <v>39</v>
      </c>
      <c r="C47" s="29">
        <v>18</v>
      </c>
      <c r="D47" s="19">
        <v>4430</v>
      </c>
      <c r="E47" s="31"/>
      <c r="F47" s="31">
        <v>0</v>
      </c>
      <c r="G47" s="20"/>
      <c r="H47" s="31">
        <f>SUM($E$22:E47)*($D$16/100)</f>
        <v>17.7636681229916</v>
      </c>
      <c r="I47" s="31">
        <f>SUM($F$22:G47)*($D$16/100)</f>
        <v>0.72888214354999992</v>
      </c>
      <c r="J47" s="31">
        <f t="shared" si="1"/>
        <v>14.545891944990178</v>
      </c>
      <c r="K47" s="31">
        <v>13.371937237117248</v>
      </c>
      <c r="L47" s="3">
        <f t="shared" si="0"/>
        <v>46.410379448649024</v>
      </c>
      <c r="M47" s="41"/>
      <c r="N47" s="41"/>
    </row>
    <row r="48" spans="1:21">
      <c r="A48" s="20"/>
      <c r="B48" s="46" t="s">
        <v>40</v>
      </c>
      <c r="C48" s="29">
        <v>19</v>
      </c>
      <c r="D48" s="19">
        <v>4430</v>
      </c>
      <c r="E48" s="31"/>
      <c r="F48" s="31">
        <v>0</v>
      </c>
      <c r="G48" s="20"/>
      <c r="H48" s="31">
        <f>SUM($E$22:E48)*($D$16/100)</f>
        <v>17.7636681229916</v>
      </c>
      <c r="I48" s="31">
        <f>SUM($F$22:G48)*($D$16/100)</f>
        <v>0.72888214354999992</v>
      </c>
      <c r="J48" s="31">
        <f t="shared" si="1"/>
        <v>14.545891944990178</v>
      </c>
      <c r="K48" s="31">
        <v>13.371937237117248</v>
      </c>
      <c r="L48" s="3">
        <f t="shared" si="0"/>
        <v>46.410379448649024</v>
      </c>
      <c r="M48" s="41"/>
      <c r="N48" s="41"/>
    </row>
    <row r="49" spans="1:14">
      <c r="A49" s="20"/>
      <c r="B49" s="46" t="s">
        <v>41</v>
      </c>
      <c r="C49" s="29">
        <v>20</v>
      </c>
      <c r="D49" s="19">
        <v>4430</v>
      </c>
      <c r="E49" s="31"/>
      <c r="F49" s="31">
        <v>0</v>
      </c>
      <c r="G49" s="20"/>
      <c r="H49" s="31">
        <f>SUM($E$22:E49)*($D$16/100)</f>
        <v>17.7636681229916</v>
      </c>
      <c r="I49" s="31">
        <f>SUM($F$22:G49)*($D$16/100)</f>
        <v>0.72888214354999992</v>
      </c>
      <c r="J49" s="31">
        <f t="shared" si="1"/>
        <v>14.545891944990178</v>
      </c>
      <c r="K49" s="31">
        <v>16.210979371064827</v>
      </c>
      <c r="L49" s="3">
        <f t="shared" si="0"/>
        <v>49.249421582596597</v>
      </c>
      <c r="M49" s="41"/>
      <c r="N49" s="41"/>
    </row>
    <row r="50" spans="1:14">
      <c r="A50" s="20"/>
      <c r="B50" s="46" t="s">
        <v>42</v>
      </c>
      <c r="C50" s="29">
        <v>21</v>
      </c>
      <c r="D50" s="19">
        <v>4430</v>
      </c>
      <c r="E50" s="31"/>
      <c r="F50" s="31">
        <v>0</v>
      </c>
      <c r="G50" s="20"/>
      <c r="H50" s="31">
        <f>SUM($E$22:E50)*($D$16/100)</f>
        <v>17.7636681229916</v>
      </c>
      <c r="I50" s="31">
        <f>SUM($F$22:G50)*($D$16/100)</f>
        <v>0.72888214354999992</v>
      </c>
      <c r="J50" s="31">
        <f t="shared" si="1"/>
        <v>14.545891944990178</v>
      </c>
      <c r="K50" s="31">
        <v>13.371937237117248</v>
      </c>
      <c r="L50" s="3">
        <f t="shared" si="0"/>
        <v>46.410379448649024</v>
      </c>
      <c r="M50" s="41"/>
      <c r="N50" s="41"/>
    </row>
    <row r="51" spans="1:14">
      <c r="A51" s="20"/>
      <c r="B51" s="46" t="s">
        <v>43</v>
      </c>
      <c r="C51" s="29">
        <v>22</v>
      </c>
      <c r="D51" s="19">
        <v>4430</v>
      </c>
      <c r="E51" s="31"/>
      <c r="F51" s="31">
        <v>0</v>
      </c>
      <c r="G51" s="20"/>
      <c r="H51" s="31">
        <f>SUM($E$22:E51)*($D$16/100)</f>
        <v>17.7636681229916</v>
      </c>
      <c r="I51" s="31">
        <f>SUM($F$22:G51)*($D$16/100)</f>
        <v>0.72888214354999992</v>
      </c>
      <c r="J51" s="31">
        <f t="shared" si="1"/>
        <v>14.545891944990178</v>
      </c>
      <c r="K51" s="31">
        <v>13.371937237117248</v>
      </c>
      <c r="L51" s="3">
        <f t="shared" si="0"/>
        <v>46.410379448649024</v>
      </c>
      <c r="M51" s="41"/>
      <c r="N51" s="41"/>
    </row>
    <row r="52" spans="1:14">
      <c r="A52" s="20"/>
      <c r="B52" s="46" t="s">
        <v>44</v>
      </c>
      <c r="C52" s="29">
        <v>23</v>
      </c>
      <c r="D52" s="19">
        <v>4430</v>
      </c>
      <c r="E52" s="31"/>
      <c r="F52" s="31">
        <v>0</v>
      </c>
      <c r="G52" s="20"/>
      <c r="H52" s="31">
        <f>SUM($E$22:E52)*($D$16/100)</f>
        <v>17.7636681229916</v>
      </c>
      <c r="I52" s="31">
        <f>SUM($F$22:G52)*($D$16/100)</f>
        <v>0.72888214354999992</v>
      </c>
      <c r="J52" s="31">
        <f t="shared" si="1"/>
        <v>14.545891944990178</v>
      </c>
      <c r="K52" s="31">
        <v>13.371937237117248</v>
      </c>
      <c r="L52" s="3">
        <f t="shared" si="0"/>
        <v>46.410379448649024</v>
      </c>
      <c r="M52" s="41"/>
      <c r="N52" s="41"/>
    </row>
    <row r="53" spans="1:14">
      <c r="A53" s="20"/>
      <c r="B53" s="46" t="s">
        <v>45</v>
      </c>
      <c r="C53" s="29">
        <v>24</v>
      </c>
      <c r="D53" s="19">
        <v>4430</v>
      </c>
      <c r="E53" s="31"/>
      <c r="F53" s="31">
        <v>0</v>
      </c>
      <c r="G53" s="20"/>
      <c r="H53" s="31">
        <f>SUM($E$22:E53)*($D$16/100)</f>
        <v>17.7636681229916</v>
      </c>
      <c r="I53" s="31">
        <f>SUM($F$22:G53)*($D$16/100)</f>
        <v>0.72888214354999992</v>
      </c>
      <c r="J53" s="31">
        <f t="shared" si="1"/>
        <v>14.545891944990178</v>
      </c>
      <c r="K53" s="31">
        <v>13.371937237117248</v>
      </c>
      <c r="L53" s="3">
        <f t="shared" si="0"/>
        <v>46.410379448649024</v>
      </c>
      <c r="M53" s="41"/>
      <c r="N53" s="41"/>
    </row>
    <row r="54" spans="1:14">
      <c r="A54" s="20"/>
      <c r="B54" s="46" t="s">
        <v>46</v>
      </c>
      <c r="C54" s="29">
        <v>25</v>
      </c>
      <c r="D54" s="19">
        <v>4430</v>
      </c>
      <c r="E54" s="31"/>
      <c r="F54" s="31">
        <v>0</v>
      </c>
      <c r="G54" s="20"/>
      <c r="H54" s="31">
        <f>SUM($E$22:E54)*($D$16/100)</f>
        <v>17.7636681229916</v>
      </c>
      <c r="I54" s="31">
        <f>SUM($F$22:G54)*($D$16/100)</f>
        <v>0.72888214354999992</v>
      </c>
      <c r="J54" s="31">
        <f t="shared" si="1"/>
        <v>14.545891944990178</v>
      </c>
      <c r="K54" s="31">
        <v>15.075362517485797</v>
      </c>
      <c r="L54" s="3">
        <f t="shared" si="0"/>
        <v>48.113804729017573</v>
      </c>
      <c r="M54" s="41"/>
      <c r="N54" s="41"/>
    </row>
    <row r="55" spans="1:14">
      <c r="A55" s="20"/>
      <c r="B55" s="46" t="s">
        <v>47</v>
      </c>
      <c r="C55" s="29">
        <v>26</v>
      </c>
      <c r="D55" s="19">
        <v>4430</v>
      </c>
      <c r="E55" s="31"/>
      <c r="F55" s="31">
        <v>0</v>
      </c>
      <c r="G55" s="20"/>
      <c r="H55" s="31">
        <f>SUM($E$22:E55)*($D$16/100)</f>
        <v>17.7636681229916</v>
      </c>
      <c r="I55" s="31">
        <f>SUM($F$22:G55)*($D$16/100)</f>
        <v>0.72888214354999992</v>
      </c>
      <c r="J55" s="31">
        <f t="shared" si="1"/>
        <v>14.545891944990178</v>
      </c>
      <c r="K55" s="31">
        <v>15.075362517485797</v>
      </c>
      <c r="L55" s="3">
        <f t="shared" si="0"/>
        <v>48.113804729017573</v>
      </c>
      <c r="M55" s="41"/>
      <c r="N55" s="41"/>
    </row>
    <row r="56" spans="1:14">
      <c r="A56" s="20"/>
      <c r="B56" s="46" t="s">
        <v>48</v>
      </c>
      <c r="C56" s="29">
        <v>27</v>
      </c>
      <c r="D56" s="19">
        <v>4430</v>
      </c>
      <c r="E56" s="31"/>
      <c r="F56" s="31">
        <v>0</v>
      </c>
      <c r="G56" s="20"/>
      <c r="H56" s="31">
        <f>SUM($E$22:E56)*($D$16/100)</f>
        <v>17.7636681229916</v>
      </c>
      <c r="I56" s="31">
        <f>SUM($F$22:G56)*($D$16/100)</f>
        <v>0.72888214354999992</v>
      </c>
      <c r="J56" s="31">
        <f t="shared" si="1"/>
        <v>14.545891944990178</v>
      </c>
      <c r="K56" s="31">
        <v>15.075362517485797</v>
      </c>
      <c r="L56" s="3">
        <f t="shared" si="0"/>
        <v>48.113804729017573</v>
      </c>
      <c r="M56" s="41"/>
      <c r="N56" s="41"/>
    </row>
    <row r="57" spans="1:14">
      <c r="A57" s="20"/>
      <c r="B57" s="46" t="s">
        <v>49</v>
      </c>
      <c r="C57" s="29">
        <v>28</v>
      </c>
      <c r="D57" s="19">
        <v>4430</v>
      </c>
      <c r="E57" s="31"/>
      <c r="F57" s="31">
        <f t="shared" ref="F57:F64" si="2">F22</f>
        <v>0</v>
      </c>
      <c r="G57" s="31"/>
      <c r="H57" s="31">
        <f>SUM($E$22:E57)*($D$16/100)</f>
        <v>17.7636681229916</v>
      </c>
      <c r="I57" s="31">
        <f>SUM($F$22:G57)*($D$16/100)</f>
        <v>0.72888214354999992</v>
      </c>
      <c r="J57" s="31">
        <f t="shared" si="1"/>
        <v>14.545891944990178</v>
      </c>
      <c r="K57" s="31">
        <v>14.223649877301522</v>
      </c>
      <c r="L57" s="3">
        <f t="shared" si="0"/>
        <v>47.262092088833299</v>
      </c>
      <c r="M57" s="41"/>
      <c r="N57" s="41"/>
    </row>
    <row r="58" spans="1:14">
      <c r="A58" s="20"/>
      <c r="B58" s="46" t="s">
        <v>50</v>
      </c>
      <c r="C58" s="29">
        <v>29</v>
      </c>
      <c r="D58" s="19">
        <v>4430</v>
      </c>
      <c r="E58" s="31"/>
      <c r="F58" s="31">
        <f t="shared" si="2"/>
        <v>0</v>
      </c>
      <c r="G58" s="31"/>
      <c r="H58" s="31">
        <f>SUM($E$22:E58)*($D$16/100)</f>
        <v>17.7636681229916</v>
      </c>
      <c r="I58" s="31">
        <f>SUM($F$22:G58)*($D$16/100)</f>
        <v>0.72888214354999992</v>
      </c>
      <c r="J58" s="31">
        <f t="shared" si="1"/>
        <v>14.545891944990178</v>
      </c>
      <c r="K58" s="31">
        <v>13.371937237117248</v>
      </c>
      <c r="L58" s="3">
        <f t="shared" si="0"/>
        <v>46.410379448649024</v>
      </c>
      <c r="M58" s="41"/>
      <c r="N58" s="41"/>
    </row>
    <row r="59" spans="1:14">
      <c r="A59" s="20"/>
      <c r="B59" s="46" t="s">
        <v>51</v>
      </c>
      <c r="C59" s="29">
        <v>30</v>
      </c>
      <c r="D59" s="19">
        <v>4430</v>
      </c>
      <c r="E59" s="31"/>
      <c r="F59" s="31">
        <f t="shared" si="2"/>
        <v>1.0663936600000001</v>
      </c>
      <c r="G59" s="31"/>
      <c r="H59" s="31">
        <f>SUM($E$22:E59)*($D$16/100)</f>
        <v>17.7636681229916</v>
      </c>
      <c r="I59" s="31">
        <f>SUM($F$22:G59)*($D$16/100)</f>
        <v>0.73421411184999985</v>
      </c>
      <c r="J59" s="31">
        <f t="shared" si="1"/>
        <v>14.545891944990178</v>
      </c>
      <c r="K59" s="31">
        <v>16.210979371064827</v>
      </c>
      <c r="L59" s="3">
        <f t="shared" si="0"/>
        <v>50.321147210896598</v>
      </c>
      <c r="M59" s="41"/>
      <c r="N59" s="41"/>
    </row>
    <row r="60" spans="1:14">
      <c r="A60" s="20"/>
      <c r="B60" s="46" t="s">
        <v>52</v>
      </c>
      <c r="C60" s="29">
        <v>31</v>
      </c>
      <c r="D60" s="19">
        <v>4430</v>
      </c>
      <c r="E60" s="31"/>
      <c r="F60" s="31">
        <f t="shared" si="2"/>
        <v>0.42038733</v>
      </c>
      <c r="G60" s="31"/>
      <c r="H60" s="31">
        <f>SUM($E$22:E60)*($D$16/100)</f>
        <v>17.7636681229916</v>
      </c>
      <c r="I60" s="31">
        <f>SUM($F$22:G60)*($D$16/100)</f>
        <v>0.73631604849999988</v>
      </c>
      <c r="J60" s="31">
        <f t="shared" si="1"/>
        <v>14.545891944990178</v>
      </c>
      <c r="K60" s="31">
        <v>13.371937237117248</v>
      </c>
      <c r="L60" s="3">
        <f t="shared" si="0"/>
        <v>46.838200683599027</v>
      </c>
      <c r="M60" s="41"/>
      <c r="N60" s="41"/>
    </row>
    <row r="61" spans="1:14">
      <c r="A61" s="20"/>
      <c r="B61" s="46" t="s">
        <v>53</v>
      </c>
      <c r="C61" s="29">
        <v>32</v>
      </c>
      <c r="D61" s="19">
        <v>4430</v>
      </c>
      <c r="E61" s="31"/>
      <c r="F61" s="31">
        <f t="shared" si="2"/>
        <v>14.706364260000001</v>
      </c>
      <c r="G61" s="31"/>
      <c r="H61" s="31">
        <f>SUM($E$22:E61)*($D$16/100)</f>
        <v>17.7636681229916</v>
      </c>
      <c r="I61" s="31">
        <f>SUM($F$22:G61)*($D$16/100)</f>
        <v>0.80984786980000001</v>
      </c>
      <c r="J61" s="31">
        <f t="shared" si="1"/>
        <v>14.545891944990178</v>
      </c>
      <c r="K61" s="31">
        <v>13.371937237117248</v>
      </c>
      <c r="L61" s="3">
        <f t="shared" si="0"/>
        <v>61.197709434899039</v>
      </c>
      <c r="M61" s="41"/>
      <c r="N61" s="41"/>
    </row>
    <row r="62" spans="1:14">
      <c r="A62" s="20"/>
      <c r="B62" s="46" t="s">
        <v>54</v>
      </c>
      <c r="C62" s="29">
        <v>33</v>
      </c>
      <c r="D62" s="19">
        <v>4430</v>
      </c>
      <c r="E62" s="31"/>
      <c r="F62" s="31">
        <f t="shared" si="2"/>
        <v>18.342845189999998</v>
      </c>
      <c r="G62" s="31"/>
      <c r="H62" s="31">
        <f>SUM($E$22:E62)*($D$16/100)</f>
        <v>17.7636681229916</v>
      </c>
      <c r="I62" s="31">
        <f>SUM($F$22:G62)*($D$16/100)</f>
        <v>0.9015620957499999</v>
      </c>
      <c r="J62" s="31">
        <f t="shared" si="1"/>
        <v>14.545891944990178</v>
      </c>
      <c r="K62" s="31">
        <v>13.371937237117248</v>
      </c>
      <c r="L62" s="3">
        <f t="shared" si="0"/>
        <v>64.925904590849029</v>
      </c>
      <c r="M62" s="41"/>
      <c r="N62" s="41"/>
    </row>
    <row r="63" spans="1:14">
      <c r="A63" s="20"/>
      <c r="B63" s="46" t="s">
        <v>55</v>
      </c>
      <c r="C63" s="29">
        <v>34</v>
      </c>
      <c r="D63" s="19">
        <v>4430</v>
      </c>
      <c r="E63" s="31"/>
      <c r="F63" s="31">
        <f t="shared" si="2"/>
        <v>19.210032609999999</v>
      </c>
      <c r="G63" s="31"/>
      <c r="H63" s="31">
        <f>SUM($E$22:E63)*($D$16/100)</f>
        <v>17.7636681229916</v>
      </c>
      <c r="I63" s="31">
        <f>SUM($F$22:G63)*($D$16/100)</f>
        <v>0.99761225879999982</v>
      </c>
      <c r="J63" s="31">
        <f t="shared" si="1"/>
        <v>14.545891944990178</v>
      </c>
      <c r="K63" s="31">
        <v>13.371937237117248</v>
      </c>
      <c r="L63" s="3">
        <f t="shared" si="0"/>
        <v>65.889142173899032</v>
      </c>
      <c r="M63" s="41"/>
      <c r="N63" s="41"/>
    </row>
    <row r="64" spans="1:14">
      <c r="A64" s="20"/>
      <c r="B64" s="46" t="s">
        <v>56</v>
      </c>
      <c r="C64" s="29">
        <v>35</v>
      </c>
      <c r="D64" s="19">
        <v>4430</v>
      </c>
      <c r="E64" s="31"/>
      <c r="F64" s="49">
        <f t="shared" si="2"/>
        <v>16.39075794</v>
      </c>
      <c r="G64" s="31"/>
      <c r="H64" s="31">
        <f>SUM($E$22:E64)*($D$16/100)</f>
        <v>17.7636681229916</v>
      </c>
      <c r="I64" s="31">
        <f>SUM($F$22:G64)*($D$16/100)</f>
        <v>1.0795660485</v>
      </c>
      <c r="J64" s="31">
        <f t="shared" si="1"/>
        <v>14.545891944990178</v>
      </c>
      <c r="K64" s="31">
        <v>13.371937237117248</v>
      </c>
      <c r="L64" s="3">
        <f t="shared" si="0"/>
        <v>63.151821293599028</v>
      </c>
      <c r="M64" s="41"/>
      <c r="N64" s="41"/>
    </row>
    <row r="65" spans="1:14">
      <c r="A65" s="20"/>
      <c r="B65" s="46" t="s">
        <v>57</v>
      </c>
      <c r="C65" s="29">
        <v>36</v>
      </c>
      <c r="D65" s="19">
        <v>4430</v>
      </c>
      <c r="E65" s="31"/>
      <c r="F65" s="3"/>
      <c r="G65" s="3"/>
      <c r="H65" s="31">
        <f>SUM($E$22:E65)*($D$16/100)</f>
        <v>17.7636681229916</v>
      </c>
      <c r="I65" s="31">
        <f>SUM($F$22:G65)*($D$16/100)</f>
        <v>1.0795660485</v>
      </c>
      <c r="J65" s="31">
        <f t="shared" si="1"/>
        <v>14.545891944990178</v>
      </c>
      <c r="K65" s="31">
        <v>13.371937237117248</v>
      </c>
      <c r="L65" s="3">
        <f t="shared" si="0"/>
        <v>46.761063353599027</v>
      </c>
      <c r="M65" s="41"/>
      <c r="N65" s="41"/>
    </row>
    <row r="66" spans="1:14">
      <c r="A66" s="20"/>
      <c r="B66" s="46" t="s">
        <v>58</v>
      </c>
      <c r="C66" s="29">
        <v>37</v>
      </c>
      <c r="D66" s="19">
        <v>4430</v>
      </c>
      <c r="E66" s="31"/>
      <c r="F66" s="31"/>
      <c r="G66" s="31"/>
      <c r="H66" s="31">
        <f>SUM($E$22:E66)*($D$16/100)</f>
        <v>17.7636681229916</v>
      </c>
      <c r="I66" s="31">
        <f>SUM($F$22:G66)*($D$16/100)</f>
        <v>1.0795660485</v>
      </c>
      <c r="J66" s="31">
        <f t="shared" si="1"/>
        <v>14.545891944990178</v>
      </c>
      <c r="K66" s="31">
        <v>28.560812653736811</v>
      </c>
      <c r="L66" s="3">
        <f t="shared" si="0"/>
        <v>61.949938770218587</v>
      </c>
      <c r="M66" s="41"/>
      <c r="N66" s="41"/>
    </row>
    <row r="67" spans="1:14">
      <c r="A67" s="20"/>
      <c r="B67" s="46" t="s">
        <v>59</v>
      </c>
      <c r="C67" s="29">
        <v>38</v>
      </c>
      <c r="D67" s="19">
        <v>4430</v>
      </c>
      <c r="E67" s="31"/>
      <c r="F67" s="27"/>
      <c r="G67" s="20"/>
      <c r="H67" s="31">
        <f>SUM($E$22:E67)*($D$16/100)</f>
        <v>17.7636681229916</v>
      </c>
      <c r="I67" s="31">
        <f>SUM($F$22:G67)*($D$16/100)</f>
        <v>1.0795660485</v>
      </c>
      <c r="J67" s="31">
        <f t="shared" si="1"/>
        <v>14.545891944990178</v>
      </c>
      <c r="K67" s="31">
        <v>13.371937237117248</v>
      </c>
      <c r="L67" s="3">
        <f t="shared" si="0"/>
        <v>46.761063353599027</v>
      </c>
      <c r="M67" s="41"/>
      <c r="N67" s="41"/>
    </row>
    <row r="68" spans="1:14">
      <c r="A68" s="20"/>
      <c r="B68" s="46" t="s">
        <v>60</v>
      </c>
      <c r="C68" s="29">
        <v>39</v>
      </c>
      <c r="D68" s="19">
        <v>4430</v>
      </c>
      <c r="E68" s="31"/>
      <c r="F68" s="27"/>
      <c r="G68" s="20"/>
      <c r="H68" s="31">
        <f>SUM($E$22:E68)*($D$16/100)</f>
        <v>17.7636681229916</v>
      </c>
      <c r="I68" s="31">
        <f>SUM($F$22:G68)*($D$16/100)</f>
        <v>1.0795660485</v>
      </c>
      <c r="J68" s="31">
        <f t="shared" si="1"/>
        <v>14.545891944990178</v>
      </c>
      <c r="K68" s="31">
        <v>28.560812653736811</v>
      </c>
      <c r="L68" s="3">
        <f t="shared" si="0"/>
        <v>61.949938770218587</v>
      </c>
      <c r="M68" s="41"/>
      <c r="N68" s="41"/>
    </row>
    <row r="69" spans="1:14">
      <c r="A69" s="20"/>
      <c r="B69" s="46" t="s">
        <v>61</v>
      </c>
      <c r="C69" s="29">
        <v>40</v>
      </c>
      <c r="D69" s="19">
        <v>4430</v>
      </c>
      <c r="E69" s="31"/>
      <c r="F69" s="27"/>
      <c r="G69" s="20"/>
      <c r="H69" s="31">
        <f>SUM($E$22:E69)*($D$16/100)</f>
        <v>17.7636681229916</v>
      </c>
      <c r="I69" s="31">
        <f>SUM($F$22:G69)*($D$16/100)</f>
        <v>1.0795660485</v>
      </c>
      <c r="J69" s="31">
        <f t="shared" si="1"/>
        <v>14.545891944990178</v>
      </c>
      <c r="K69" s="31">
        <v>16.210979371064827</v>
      </c>
      <c r="L69" s="3">
        <f t="shared" si="0"/>
        <v>49.6001054875466</v>
      </c>
      <c r="M69" s="41"/>
      <c r="N69" s="41"/>
    </row>
    <row r="70" spans="1:14">
      <c r="A70" s="20"/>
      <c r="B70" s="46" t="s">
        <v>62</v>
      </c>
      <c r="C70" s="29">
        <v>41</v>
      </c>
      <c r="D70" s="19">
        <v>4430</v>
      </c>
      <c r="E70" s="31"/>
      <c r="F70" s="27"/>
      <c r="G70" s="20"/>
      <c r="H70" s="31">
        <f>SUM($E$22:E70)*($D$16/100)</f>
        <v>17.7636681229916</v>
      </c>
      <c r="I70" s="31">
        <f>SUM($F$22:G70)*($D$16/100)</f>
        <v>1.0795660485</v>
      </c>
      <c r="J70" s="31">
        <f t="shared" si="1"/>
        <v>14.545891944990178</v>
      </c>
      <c r="K70" s="31">
        <v>28.560812653736811</v>
      </c>
      <c r="L70" s="3">
        <f t="shared" si="0"/>
        <v>61.949938770218587</v>
      </c>
      <c r="M70" s="41"/>
      <c r="N70" s="41"/>
    </row>
    <row r="71" spans="1:14">
      <c r="A71" s="20"/>
      <c r="B71" s="46" t="s">
        <v>63</v>
      </c>
      <c r="C71" s="29">
        <v>42</v>
      </c>
      <c r="D71" s="19">
        <v>4430</v>
      </c>
      <c r="E71" s="31"/>
      <c r="F71" s="27"/>
      <c r="G71" s="20"/>
      <c r="H71" s="31">
        <f>SUM($E$22:E71)*($D$16/100)</f>
        <v>17.7636681229916</v>
      </c>
      <c r="I71" s="31">
        <f>SUM($F$22:G71)*($D$16/100)</f>
        <v>1.0795660485</v>
      </c>
      <c r="J71" s="31">
        <f t="shared" si="1"/>
        <v>14.545891944990178</v>
      </c>
      <c r="K71" s="31">
        <v>13.371937237117248</v>
      </c>
      <c r="L71" s="3">
        <f t="shared" si="0"/>
        <v>46.761063353599027</v>
      </c>
      <c r="M71" s="41"/>
      <c r="N71" s="41"/>
    </row>
    <row r="72" spans="1:14">
      <c r="A72" s="20"/>
      <c r="B72" s="46" t="s">
        <v>64</v>
      </c>
      <c r="C72" s="29">
        <v>43</v>
      </c>
      <c r="D72" s="19">
        <v>4430</v>
      </c>
      <c r="E72" s="31"/>
      <c r="F72" s="27"/>
      <c r="G72" s="20"/>
      <c r="H72" s="31">
        <f>SUM($E$22:E72)*($D$16/100)</f>
        <v>17.7636681229916</v>
      </c>
      <c r="I72" s="31">
        <f>SUM($F$22:G72)*($D$16/100)</f>
        <v>1.0795660485</v>
      </c>
      <c r="J72" s="31">
        <f t="shared" si="1"/>
        <v>14.545891944990178</v>
      </c>
      <c r="K72" s="31">
        <v>28.560812653736811</v>
      </c>
      <c r="L72" s="3">
        <f t="shared" si="0"/>
        <v>61.949938770218587</v>
      </c>
      <c r="M72" s="41"/>
      <c r="N72" s="41"/>
    </row>
    <row r="73" spans="1:14">
      <c r="A73" s="20"/>
      <c r="B73" s="46" t="s">
        <v>65</v>
      </c>
      <c r="C73" s="29">
        <v>44</v>
      </c>
      <c r="D73" s="19">
        <v>4430</v>
      </c>
      <c r="E73" s="31"/>
      <c r="F73" s="27"/>
      <c r="G73" s="20"/>
      <c r="H73" s="31">
        <f>SUM($E$22:E73)*($D$16/100)</f>
        <v>17.7636681229916</v>
      </c>
      <c r="I73" s="31">
        <f>SUM($F$22:G73)*($D$16/100)</f>
        <v>1.0795660485</v>
      </c>
      <c r="J73" s="31">
        <f t="shared" si="1"/>
        <v>14.545891944990178</v>
      </c>
      <c r="K73" s="31">
        <v>13.371937237117248</v>
      </c>
      <c r="L73" s="3">
        <f t="shared" si="0"/>
        <v>46.761063353599027</v>
      </c>
      <c r="M73" s="41"/>
      <c r="N73" s="41"/>
    </row>
    <row r="74" spans="1:14">
      <c r="A74" s="20"/>
      <c r="B74" s="46" t="s">
        <v>66</v>
      </c>
      <c r="C74" s="29">
        <v>45</v>
      </c>
      <c r="D74" s="19">
        <v>4430</v>
      </c>
      <c r="E74" s="31"/>
      <c r="F74" s="27"/>
      <c r="G74" s="20"/>
      <c r="H74" s="31">
        <f>SUM($E$22:E74)*($D$16/100)</f>
        <v>17.7636681229916</v>
      </c>
      <c r="I74" s="31">
        <f>SUM($F$22:G74)*($D$16/100)</f>
        <v>1.0795660485</v>
      </c>
      <c r="J74" s="31">
        <f t="shared" si="1"/>
        <v>14.545891944990178</v>
      </c>
      <c r="K74" s="31">
        <v>28.560812653736811</v>
      </c>
      <c r="L74" s="3">
        <f t="shared" si="0"/>
        <v>61.949938770218587</v>
      </c>
      <c r="M74" s="41"/>
      <c r="N74" s="41"/>
    </row>
    <row r="75" spans="1:14">
      <c r="A75" s="20"/>
      <c r="B75" s="46" t="s">
        <v>67</v>
      </c>
      <c r="C75" s="29">
        <v>46</v>
      </c>
      <c r="D75" s="19">
        <v>4430</v>
      </c>
      <c r="E75" s="31"/>
      <c r="F75" s="27"/>
      <c r="G75" s="20"/>
      <c r="H75" s="31">
        <f>SUM($E$22:E75)*($D$16/100)</f>
        <v>17.7636681229916</v>
      </c>
      <c r="I75" s="31">
        <f>SUM($F$22:G75)*($D$16/100)</f>
        <v>1.0795660485</v>
      </c>
      <c r="J75" s="31">
        <f t="shared" si="1"/>
        <v>14.545891944990178</v>
      </c>
      <c r="K75" s="31">
        <v>13.371937237117248</v>
      </c>
      <c r="L75" s="3">
        <f t="shared" si="0"/>
        <v>46.761063353599027</v>
      </c>
      <c r="M75" s="41"/>
      <c r="N75" s="41"/>
    </row>
    <row r="76" spans="1:14">
      <c r="A76" s="20"/>
      <c r="B76" s="46" t="s">
        <v>68</v>
      </c>
      <c r="C76" s="29">
        <v>47</v>
      </c>
      <c r="D76" s="19">
        <v>4430</v>
      </c>
      <c r="E76" s="31"/>
      <c r="F76" s="27"/>
      <c r="G76" s="20"/>
      <c r="H76" s="31">
        <f>SUM($E$22:E76)*($D$16/100)</f>
        <v>17.7636681229916</v>
      </c>
      <c r="I76" s="31">
        <f>SUM($F$22:G76)*($D$16/100)</f>
        <v>1.0795660485</v>
      </c>
      <c r="J76" s="31">
        <f t="shared" si="1"/>
        <v>14.545891944990178</v>
      </c>
      <c r="K76" s="31">
        <v>28.560812653736811</v>
      </c>
      <c r="L76" s="3">
        <f t="shared" si="0"/>
        <v>61.949938770218587</v>
      </c>
      <c r="M76" s="41"/>
      <c r="N76" s="41"/>
    </row>
    <row r="77" spans="1:14">
      <c r="A77" s="20"/>
      <c r="B77" s="46" t="s">
        <v>69</v>
      </c>
      <c r="C77" s="29">
        <v>48</v>
      </c>
      <c r="D77" s="19">
        <v>4430</v>
      </c>
      <c r="E77" s="31"/>
      <c r="F77" s="27"/>
      <c r="G77" s="20"/>
      <c r="H77" s="31">
        <f>SUM($E$22:E77)*($D$16/100)</f>
        <v>17.7636681229916</v>
      </c>
      <c r="I77" s="31">
        <f>SUM($F$22:G77)*($D$16/100)</f>
        <v>1.0795660485</v>
      </c>
      <c r="J77" s="31">
        <f t="shared" si="1"/>
        <v>14.545891944990178</v>
      </c>
      <c r="K77" s="31">
        <v>13.371937237117248</v>
      </c>
      <c r="L77" s="3">
        <f t="shared" si="0"/>
        <v>46.761063353599027</v>
      </c>
      <c r="M77" s="41"/>
      <c r="N77" s="41"/>
    </row>
    <row r="78" spans="1:14">
      <c r="A78" s="20"/>
      <c r="B78" s="46" t="s">
        <v>70</v>
      </c>
      <c r="C78" s="29">
        <v>49</v>
      </c>
      <c r="D78" s="19">
        <v>4430</v>
      </c>
      <c r="E78" s="31"/>
      <c r="F78" s="27"/>
      <c r="G78" s="20"/>
      <c r="H78" s="31">
        <f>SUM($E$22:E78)*($D$16/100)</f>
        <v>17.7636681229916</v>
      </c>
      <c r="I78" s="31">
        <f>SUM($F$22:G78)*($D$16/100)</f>
        <v>1.0795660485</v>
      </c>
      <c r="J78" s="31">
        <f t="shared" si="1"/>
        <v>14.545891944990178</v>
      </c>
      <c r="K78" s="31">
        <v>28.560812653736811</v>
      </c>
      <c r="L78" s="3">
        <f t="shared" si="0"/>
        <v>61.949938770218587</v>
      </c>
      <c r="M78" s="41"/>
      <c r="N78" s="41"/>
    </row>
    <row r="79" spans="1:14">
      <c r="A79" s="20"/>
      <c r="B79" s="46" t="s">
        <v>71</v>
      </c>
      <c r="C79" s="29">
        <v>50</v>
      </c>
      <c r="D79" s="19">
        <v>4430</v>
      </c>
      <c r="E79" s="31"/>
      <c r="F79" s="27"/>
      <c r="G79" s="20"/>
      <c r="H79" s="31">
        <f>SUM($E$22:E79)*($D$16/100)</f>
        <v>17.7636681229916</v>
      </c>
      <c r="I79" s="31">
        <f>SUM($F$22:G79)*($D$16/100)</f>
        <v>1.0795660485</v>
      </c>
      <c r="J79" s="31">
        <f t="shared" si="1"/>
        <v>14.545891944990178</v>
      </c>
      <c r="K79" s="31">
        <v>16.210979371064827</v>
      </c>
      <c r="L79" s="3">
        <f t="shared" si="0"/>
        <v>49.6001054875466</v>
      </c>
      <c r="M79" s="41"/>
      <c r="N79" s="41"/>
    </row>
    <row r="80" spans="1:14">
      <c r="A80" s="20"/>
      <c r="B80" s="46" t="s">
        <v>72</v>
      </c>
      <c r="C80" s="29">
        <v>51</v>
      </c>
      <c r="D80" s="19">
        <v>4430</v>
      </c>
      <c r="E80" s="31"/>
      <c r="F80" s="27"/>
      <c r="G80" s="20"/>
      <c r="H80" s="31">
        <f>SUM($E$22:E80)*($D$16/100)</f>
        <v>17.7636681229916</v>
      </c>
      <c r="I80" s="31">
        <f>SUM($F$22:G80)*($D$16/100)</f>
        <v>1.0795660485</v>
      </c>
      <c r="J80" s="31">
        <f t="shared" si="1"/>
        <v>14.545891944990178</v>
      </c>
      <c r="K80" s="31">
        <v>15.075362517485797</v>
      </c>
      <c r="L80" s="3">
        <f t="shared" si="0"/>
        <v>48.464488633967576</v>
      </c>
      <c r="M80" s="41"/>
      <c r="N80" s="41"/>
    </row>
    <row r="81" spans="1:14">
      <c r="A81" s="20"/>
      <c r="B81" s="46" t="s">
        <v>73</v>
      </c>
      <c r="C81" s="29">
        <v>52</v>
      </c>
      <c r="D81" s="19">
        <v>4430</v>
      </c>
      <c r="E81" s="31"/>
      <c r="F81" s="27"/>
      <c r="G81" s="20"/>
      <c r="H81" s="31">
        <f>SUM($E$22:E81)*($D$16/100)</f>
        <v>17.7636681229916</v>
      </c>
      <c r="I81" s="31">
        <f>SUM($F$22:G81)*($D$16/100)</f>
        <v>1.0795660485</v>
      </c>
      <c r="J81" s="31">
        <f t="shared" si="1"/>
        <v>14.545891944990178</v>
      </c>
      <c r="K81" s="31">
        <v>15.075362517485797</v>
      </c>
      <c r="L81" s="3">
        <f t="shared" si="0"/>
        <v>48.464488633967576</v>
      </c>
      <c r="M81" s="41"/>
      <c r="N81" s="41"/>
    </row>
    <row r="82" spans="1:14">
      <c r="A82" s="20"/>
      <c r="B82" s="46" t="s">
        <v>74</v>
      </c>
      <c r="C82" s="29">
        <v>53</v>
      </c>
      <c r="D82" s="19">
        <v>4430</v>
      </c>
      <c r="E82" s="31"/>
      <c r="F82" s="27"/>
      <c r="G82" s="20"/>
      <c r="H82" s="31">
        <f>SUM($E$22:E82)*($D$16/100)</f>
        <v>17.7636681229916</v>
      </c>
      <c r="I82" s="31">
        <f>SUM($F$22:G82)*($D$16/100)</f>
        <v>1.0795660485</v>
      </c>
      <c r="J82" s="31">
        <f t="shared" si="1"/>
        <v>14.545891944990178</v>
      </c>
      <c r="K82" s="31">
        <v>15.075362517485797</v>
      </c>
      <c r="L82" s="3">
        <f t="shared" si="0"/>
        <v>48.464488633967576</v>
      </c>
      <c r="M82" s="41"/>
      <c r="N82" s="41"/>
    </row>
    <row r="83" spans="1:14">
      <c r="A83" s="20"/>
      <c r="B83" s="46" t="s">
        <v>75</v>
      </c>
      <c r="C83" s="29">
        <v>54</v>
      </c>
      <c r="D83" s="19">
        <v>4430</v>
      </c>
      <c r="E83" s="31"/>
      <c r="F83" s="27"/>
      <c r="G83" s="20"/>
      <c r="H83" s="31">
        <f>SUM($E$22:E83)*($D$16/100)</f>
        <v>17.7636681229916</v>
      </c>
      <c r="I83" s="31">
        <f>SUM($F$22:G83)*($D$16/100)</f>
        <v>1.0795660485</v>
      </c>
      <c r="J83" s="31">
        <f t="shared" si="1"/>
        <v>14.545891944990178</v>
      </c>
      <c r="K83" s="31">
        <v>14.223649877301522</v>
      </c>
      <c r="L83" s="3">
        <f t="shared" si="0"/>
        <v>47.612775993783302</v>
      </c>
      <c r="M83" s="41"/>
      <c r="N83" s="41"/>
    </row>
    <row r="84" spans="1:14">
      <c r="A84" s="20"/>
      <c r="B84" s="46" t="s">
        <v>76</v>
      </c>
      <c r="C84" s="29">
        <v>55</v>
      </c>
      <c r="D84" s="19">
        <v>4430</v>
      </c>
      <c r="E84" s="31"/>
      <c r="F84" s="27"/>
      <c r="G84" s="20"/>
      <c r="H84" s="31">
        <f>SUM($E$22:E84)*($D$16/100)</f>
        <v>17.7636681229916</v>
      </c>
      <c r="I84" s="31">
        <f>SUM($F$22:G84)*($D$16/100)</f>
        <v>1.0795660485</v>
      </c>
      <c r="J84" s="31">
        <f t="shared" si="1"/>
        <v>14.545891944990178</v>
      </c>
      <c r="K84" s="31">
        <v>13.371937237117248</v>
      </c>
      <c r="L84" s="3">
        <f t="shared" si="0"/>
        <v>46.761063353599027</v>
      </c>
      <c r="M84" s="41"/>
      <c r="N84" s="41"/>
    </row>
    <row r="85" spans="1:14">
      <c r="A85" s="20"/>
      <c r="B85" s="46" t="s">
        <v>77</v>
      </c>
      <c r="C85" s="29">
        <v>56</v>
      </c>
      <c r="D85" s="19">
        <v>4430</v>
      </c>
      <c r="E85" s="31"/>
      <c r="F85" s="27"/>
      <c r="G85" s="20"/>
      <c r="H85" s="31">
        <f>SUM($E$22:E85)*($D$16/100)</f>
        <v>17.7636681229916</v>
      </c>
      <c r="I85" s="31">
        <f>SUM($F$22:G85)*($D$16/100)</f>
        <v>1.0795660485</v>
      </c>
      <c r="J85" s="31">
        <f t="shared" si="1"/>
        <v>14.545891944990178</v>
      </c>
      <c r="K85" s="31">
        <v>13.371937237117248</v>
      </c>
      <c r="L85" s="3">
        <f t="shared" si="0"/>
        <v>46.761063353599027</v>
      </c>
      <c r="M85" s="41"/>
      <c r="N85" s="41"/>
    </row>
    <row r="86" spans="1:14">
      <c r="A86" s="20"/>
      <c r="B86" s="46" t="s">
        <v>78</v>
      </c>
      <c r="C86" s="29">
        <v>57</v>
      </c>
      <c r="D86" s="19">
        <v>4430</v>
      </c>
      <c r="E86" s="31"/>
      <c r="F86" s="27"/>
      <c r="G86" s="20"/>
      <c r="H86" s="31">
        <f>SUM($E$22:E86)*($D$16/100)</f>
        <v>17.7636681229916</v>
      </c>
      <c r="I86" s="31">
        <f>SUM($F$22:G86)*($D$16/100)</f>
        <v>1.0795660485</v>
      </c>
      <c r="J86" s="31">
        <f t="shared" si="1"/>
        <v>14.545891944990178</v>
      </c>
      <c r="K86" s="31">
        <v>13.371937237117248</v>
      </c>
      <c r="L86" s="3">
        <f t="shared" si="0"/>
        <v>46.761063353599027</v>
      </c>
      <c r="M86" s="41"/>
      <c r="N86" s="41"/>
    </row>
    <row r="87" spans="1:14">
      <c r="A87" s="20"/>
      <c r="B87" s="46" t="s">
        <v>79</v>
      </c>
      <c r="C87" s="29">
        <v>58</v>
      </c>
      <c r="D87" s="19">
        <v>4430</v>
      </c>
      <c r="E87" s="31"/>
      <c r="F87" s="27"/>
      <c r="G87" s="20"/>
      <c r="H87" s="31">
        <f>SUM($E$22:E87)*($D$16/100)</f>
        <v>17.7636681229916</v>
      </c>
      <c r="I87" s="31">
        <f>SUM($F$22:G87)*($D$16/100)</f>
        <v>1.0795660485</v>
      </c>
      <c r="J87" s="31">
        <f t="shared" si="1"/>
        <v>14.545891944990178</v>
      </c>
      <c r="K87" s="31">
        <v>13.371937237117248</v>
      </c>
      <c r="L87" s="3">
        <f t="shared" ref="L87:L97" si="3">SUM(E87:K87)</f>
        <v>46.761063353599027</v>
      </c>
      <c r="M87" s="41"/>
      <c r="N87" s="41"/>
    </row>
    <row r="88" spans="1:14">
      <c r="A88" s="20"/>
      <c r="B88" s="46" t="s">
        <v>80</v>
      </c>
      <c r="C88" s="29">
        <v>59</v>
      </c>
      <c r="D88" s="19">
        <v>4430</v>
      </c>
      <c r="E88" s="31"/>
      <c r="F88" s="27"/>
      <c r="G88" s="20"/>
      <c r="H88" s="31">
        <f>SUM($E$22:E88)*($D$16/100)</f>
        <v>17.7636681229916</v>
      </c>
      <c r="I88" s="31">
        <f>SUM($F$22:G88)*($D$16/100)</f>
        <v>1.0795660485</v>
      </c>
      <c r="J88" s="31">
        <f t="shared" ref="J88:J97" si="4">$D$17*D88/1000/1.018</f>
        <v>14.545891944990178</v>
      </c>
      <c r="K88" s="31">
        <v>13.371937237117248</v>
      </c>
      <c r="L88" s="3">
        <f t="shared" si="3"/>
        <v>46.761063353599027</v>
      </c>
      <c r="M88" s="41"/>
      <c r="N88" s="41"/>
    </row>
    <row r="89" spans="1:14">
      <c r="A89" s="20"/>
      <c r="B89" s="46" t="s">
        <v>81</v>
      </c>
      <c r="C89" s="29">
        <v>60</v>
      </c>
      <c r="D89" s="19">
        <v>4430</v>
      </c>
      <c r="E89" s="31"/>
      <c r="F89" s="27"/>
      <c r="G89" s="20"/>
      <c r="H89" s="31">
        <f>SUM($E$22:E89)*($D$16/100)</f>
        <v>17.7636681229916</v>
      </c>
      <c r="I89" s="31">
        <f>SUM($F$22:G89)*($D$16/100)</f>
        <v>1.0795660485</v>
      </c>
      <c r="J89" s="31">
        <f t="shared" si="4"/>
        <v>14.545891944990178</v>
      </c>
      <c r="K89" s="31">
        <v>16.210979371064827</v>
      </c>
      <c r="L89" s="3">
        <f t="shared" si="3"/>
        <v>49.6001054875466</v>
      </c>
      <c r="M89" s="41"/>
      <c r="N89" s="41"/>
    </row>
    <row r="90" spans="1:14">
      <c r="A90" s="20"/>
      <c r="B90" s="46" t="s">
        <v>82</v>
      </c>
      <c r="C90" s="29">
        <v>61</v>
      </c>
      <c r="D90" s="19">
        <v>4430</v>
      </c>
      <c r="E90" s="31"/>
      <c r="F90" s="27"/>
      <c r="G90" s="20"/>
      <c r="H90" s="31">
        <f>SUM($E$22:E90)*($D$16/100)</f>
        <v>17.7636681229916</v>
      </c>
      <c r="I90" s="31">
        <f>SUM($F$22:G90)*($D$16/100)</f>
        <v>1.0795660485</v>
      </c>
      <c r="J90" s="31">
        <f t="shared" si="4"/>
        <v>14.545891944990178</v>
      </c>
      <c r="K90" s="31">
        <v>13.371937237117248</v>
      </c>
      <c r="L90" s="3">
        <f t="shared" si="3"/>
        <v>46.761063353599027</v>
      </c>
      <c r="M90" s="41"/>
      <c r="N90" s="41"/>
    </row>
    <row r="91" spans="1:14">
      <c r="A91" s="20"/>
      <c r="B91" s="46" t="s">
        <v>83</v>
      </c>
      <c r="C91" s="29">
        <v>62</v>
      </c>
      <c r="D91" s="19">
        <v>4430</v>
      </c>
      <c r="E91" s="31"/>
      <c r="F91" s="27"/>
      <c r="G91" s="20"/>
      <c r="H91" s="31">
        <f>SUM($E$22:E91)*($D$16/100)</f>
        <v>17.7636681229916</v>
      </c>
      <c r="I91" s="31">
        <f>SUM($F$22:G91)*($D$16/100)</f>
        <v>1.0795660485</v>
      </c>
      <c r="J91" s="31">
        <f t="shared" si="4"/>
        <v>14.545891944990178</v>
      </c>
      <c r="K91" s="31">
        <v>13.371937237117248</v>
      </c>
      <c r="L91" s="3">
        <f t="shared" si="3"/>
        <v>46.761063353599027</v>
      </c>
      <c r="M91" s="41"/>
      <c r="N91" s="41"/>
    </row>
    <row r="92" spans="1:14">
      <c r="A92" s="20"/>
      <c r="B92" s="46" t="s">
        <v>84</v>
      </c>
      <c r="C92" s="29">
        <v>63</v>
      </c>
      <c r="D92" s="19">
        <v>4430</v>
      </c>
      <c r="E92" s="31"/>
      <c r="F92" s="27"/>
      <c r="G92" s="20"/>
      <c r="H92" s="31">
        <f>SUM($E$22:E92)*($D$16/100)</f>
        <v>17.7636681229916</v>
      </c>
      <c r="I92" s="31">
        <f>SUM($F$22:G92)*($D$16/100)</f>
        <v>1.0795660485</v>
      </c>
      <c r="J92" s="31">
        <f t="shared" si="4"/>
        <v>14.545891944990178</v>
      </c>
      <c r="K92" s="31">
        <v>13.371937237117248</v>
      </c>
      <c r="L92" s="3">
        <f t="shared" si="3"/>
        <v>46.761063353599027</v>
      </c>
      <c r="M92" s="41"/>
      <c r="N92" s="41"/>
    </row>
    <row r="93" spans="1:14">
      <c r="A93" s="20"/>
      <c r="B93" s="46" t="s">
        <v>85</v>
      </c>
      <c r="C93" s="29">
        <v>64</v>
      </c>
      <c r="D93" s="19">
        <v>4430</v>
      </c>
      <c r="E93" s="31"/>
      <c r="F93" s="27"/>
      <c r="G93" s="20"/>
      <c r="H93" s="31">
        <f>SUM($E$22:E93)*($D$16/100)</f>
        <v>17.7636681229916</v>
      </c>
      <c r="I93" s="31">
        <f>SUM($F$22:G93)*($D$16/100)</f>
        <v>1.0795660485</v>
      </c>
      <c r="J93" s="31">
        <f t="shared" si="4"/>
        <v>14.545891944990178</v>
      </c>
      <c r="K93" s="31">
        <v>13.371937237117248</v>
      </c>
      <c r="L93" s="3">
        <f t="shared" si="3"/>
        <v>46.761063353599027</v>
      </c>
      <c r="M93" s="41"/>
      <c r="N93" s="41"/>
    </row>
    <row r="94" spans="1:14">
      <c r="A94" s="20"/>
      <c r="B94" s="46" t="s">
        <v>86</v>
      </c>
      <c r="C94" s="29">
        <v>65</v>
      </c>
      <c r="D94" s="19">
        <v>4430</v>
      </c>
      <c r="E94" s="31"/>
      <c r="F94" s="27"/>
      <c r="G94" s="20"/>
      <c r="H94" s="31">
        <f>SUM($E$22:E94)*($D$16/100)</f>
        <v>17.7636681229916</v>
      </c>
      <c r="I94" s="31">
        <f>SUM($F$22:G94)*($D$16/100)</f>
        <v>1.0795660485</v>
      </c>
      <c r="J94" s="31">
        <f t="shared" si="4"/>
        <v>14.545891944990178</v>
      </c>
      <c r="K94" s="31">
        <v>13.371937237117248</v>
      </c>
      <c r="L94" s="3">
        <f t="shared" si="3"/>
        <v>46.761063353599027</v>
      </c>
      <c r="M94" s="41"/>
      <c r="N94" s="41"/>
    </row>
    <row r="95" spans="1:14">
      <c r="A95" s="20"/>
      <c r="B95" s="46" t="s">
        <v>87</v>
      </c>
      <c r="C95" s="29">
        <v>66</v>
      </c>
      <c r="D95" s="19">
        <v>4430</v>
      </c>
      <c r="E95" s="31"/>
      <c r="F95" s="27"/>
      <c r="G95" s="20"/>
      <c r="H95" s="31">
        <f>SUM($E$22:E95)*($D$16/100)</f>
        <v>17.7636681229916</v>
      </c>
      <c r="I95" s="31">
        <f>SUM($F$22:G95)*($D$16/100)</f>
        <v>1.0795660485</v>
      </c>
      <c r="J95" s="31">
        <f t="shared" si="4"/>
        <v>14.545891944990178</v>
      </c>
      <c r="K95" s="31">
        <v>13.371937237117248</v>
      </c>
      <c r="L95" s="3">
        <f t="shared" si="3"/>
        <v>46.761063353599027</v>
      </c>
      <c r="M95" s="41"/>
      <c r="N95" s="41"/>
    </row>
    <row r="96" spans="1:14">
      <c r="A96" s="20"/>
      <c r="B96" s="46" t="s">
        <v>88</v>
      </c>
      <c r="C96" s="29">
        <v>67</v>
      </c>
      <c r="D96" s="19">
        <v>3059</v>
      </c>
      <c r="E96" s="31"/>
      <c r="F96" s="27"/>
      <c r="G96" s="20"/>
      <c r="H96" s="31"/>
      <c r="I96" s="31"/>
      <c r="J96" s="31">
        <f t="shared" si="4"/>
        <v>10.044217485265225</v>
      </c>
      <c r="K96" s="37"/>
      <c r="L96" s="3">
        <f t="shared" si="3"/>
        <v>10.044217485265225</v>
      </c>
      <c r="M96" s="41"/>
      <c r="N96" s="41"/>
    </row>
    <row r="97" spans="1:14">
      <c r="A97" s="20"/>
      <c r="B97" s="46" t="s">
        <v>89</v>
      </c>
      <c r="C97" s="29">
        <v>68</v>
      </c>
      <c r="D97" s="19">
        <v>475</v>
      </c>
      <c r="E97" s="31"/>
      <c r="F97" s="27"/>
      <c r="G97" s="20"/>
      <c r="I97" s="31"/>
      <c r="J97" s="31">
        <f t="shared" si="4"/>
        <v>1.5596611001964635</v>
      </c>
      <c r="K97" s="31"/>
      <c r="L97" s="3">
        <f t="shared" si="3"/>
        <v>1.5596611001964635</v>
      </c>
      <c r="M97" s="41"/>
      <c r="N97" s="41"/>
    </row>
    <row r="98" spans="1:14">
      <c r="A98" s="20"/>
      <c r="B98" s="46" t="s">
        <v>90</v>
      </c>
      <c r="C98" s="29">
        <v>69</v>
      </c>
      <c r="E98" s="31"/>
      <c r="F98" s="27"/>
      <c r="G98" s="20"/>
      <c r="I98" s="31"/>
      <c r="J98" s="31"/>
      <c r="K98" s="31"/>
      <c r="L98" s="3"/>
      <c r="M98" s="41"/>
      <c r="N98" s="41"/>
    </row>
    <row r="99" spans="1:14">
      <c r="A99" s="20"/>
      <c r="B99" s="66" t="s">
        <v>91</v>
      </c>
      <c r="C99" s="29">
        <v>70</v>
      </c>
      <c r="D99" s="76"/>
      <c r="E99" s="31"/>
      <c r="F99" s="27"/>
      <c r="G99" s="20"/>
      <c r="I99" s="31"/>
      <c r="J99" s="27"/>
      <c r="K99" s="37"/>
      <c r="L99" s="27"/>
    </row>
    <row r="100" spans="1:14">
      <c r="A100" s="20"/>
      <c r="B100" s="66" t="s">
        <v>101</v>
      </c>
      <c r="C100" s="29">
        <v>71</v>
      </c>
      <c r="D100" s="80"/>
      <c r="E100" s="31"/>
      <c r="F100" s="27"/>
      <c r="G100" s="20"/>
      <c r="I100" s="31"/>
      <c r="J100" s="31"/>
      <c r="K100" s="37"/>
      <c r="L100" s="3"/>
    </row>
    <row r="101" spans="1:14">
      <c r="B101" s="66" t="s">
        <v>102</v>
      </c>
      <c r="C101" s="29">
        <v>72</v>
      </c>
      <c r="D101" s="80"/>
      <c r="E101" s="31"/>
      <c r="F101" s="27"/>
      <c r="G101" s="20"/>
      <c r="I101" s="31"/>
      <c r="J101" s="31"/>
      <c r="K101" s="37"/>
      <c r="L101" s="3"/>
    </row>
    <row r="102" spans="1:14">
      <c r="B102" s="66" t="s">
        <v>103</v>
      </c>
      <c r="C102" s="29">
        <v>73</v>
      </c>
      <c r="D102" s="80"/>
      <c r="E102" s="31"/>
      <c r="F102" s="27"/>
      <c r="G102" s="20"/>
      <c r="I102" s="31"/>
      <c r="J102" s="31"/>
      <c r="K102" s="37"/>
      <c r="L102" s="3"/>
      <c r="M102" s="26"/>
    </row>
    <row r="103" spans="1:14">
      <c r="B103" s="29" t="s">
        <v>104</v>
      </c>
      <c r="C103" s="29">
        <v>74</v>
      </c>
      <c r="D103" s="80"/>
      <c r="E103" s="31"/>
      <c r="F103" s="27"/>
      <c r="G103" s="20"/>
      <c r="I103" s="31"/>
      <c r="J103" s="31"/>
      <c r="K103" s="37"/>
      <c r="L103" s="3"/>
    </row>
    <row r="104" spans="1:14">
      <c r="B104" s="30" t="s">
        <v>120</v>
      </c>
      <c r="C104" s="30">
        <v>75</v>
      </c>
      <c r="D104" s="81"/>
      <c r="E104" s="6"/>
      <c r="F104" s="28"/>
      <c r="G104" s="7"/>
      <c r="H104" s="47"/>
      <c r="I104" s="6"/>
      <c r="J104" s="6"/>
      <c r="K104" s="52"/>
      <c r="L104" s="3"/>
    </row>
    <row r="105" spans="1:14">
      <c r="D105" s="26"/>
      <c r="E105" s="26"/>
      <c r="I105" s="26"/>
      <c r="J105" s="26"/>
      <c r="K105" s="26"/>
      <c r="L105" s="53"/>
    </row>
    <row r="106" spans="1:14">
      <c r="C106" s="55" t="s">
        <v>15</v>
      </c>
      <c r="D106" s="73">
        <f>NPV($D$7/100, D24:D104)+D23+D22</f>
        <v>63526.391366283526</v>
      </c>
      <c r="E106" s="8">
        <f>NPV($D$7/100, E24:E104)+E23+E22</f>
        <v>2987.7071948486682</v>
      </c>
      <c r="F106" s="8">
        <f t="shared" ref="F106:L106" si="5">NPV($D$7/100, F24:F104)+F23+F22</f>
        <v>66.403694626825512</v>
      </c>
      <c r="G106" s="8">
        <f t="shared" si="5"/>
        <v>61.588322869333837</v>
      </c>
      <c r="H106" s="8">
        <f t="shared" si="5"/>
        <v>300.61842946490265</v>
      </c>
      <c r="I106" s="8">
        <f t="shared" si="5"/>
        <v>12.696634132494614</v>
      </c>
      <c r="J106" s="8">
        <f t="shared" si="5"/>
        <v>208.58871884178711</v>
      </c>
      <c r="K106" s="8">
        <f t="shared" si="5"/>
        <v>230.63767602280586</v>
      </c>
      <c r="L106" s="8">
        <f t="shared" si="5"/>
        <v>3868.2406708068161</v>
      </c>
    </row>
    <row r="107" spans="1:14">
      <c r="C107" s="55" t="s">
        <v>114</v>
      </c>
      <c r="D107" s="54"/>
      <c r="E107" s="9">
        <f t="shared" ref="E107:L107" si="6">E106/($D$106/1000)</f>
        <v>47.030960370816629</v>
      </c>
      <c r="F107" s="9">
        <f t="shared" si="6"/>
        <v>1.0452930380375598</v>
      </c>
      <c r="G107" s="9">
        <f t="shared" si="6"/>
        <v>0.96949191579645877</v>
      </c>
      <c r="H107" s="9">
        <f t="shared" si="6"/>
        <v>4.7321817436722071</v>
      </c>
      <c r="I107" s="9">
        <f t="shared" si="6"/>
        <v>0.19986392835204111</v>
      </c>
      <c r="J107" s="9">
        <f t="shared" si="6"/>
        <v>3.2834970530451861</v>
      </c>
      <c r="K107" s="9">
        <f t="shared" si="6"/>
        <v>3.6305804731294122</v>
      </c>
      <c r="L107" s="9">
        <f t="shared" si="6"/>
        <v>60.891868522849471</v>
      </c>
    </row>
    <row r="108" spans="1:14">
      <c r="C108" s="56" t="s">
        <v>113</v>
      </c>
      <c r="D108" s="54"/>
      <c r="E108" s="50">
        <f t="shared" ref="E108:L108" si="7">(E106*(1+$D$15/100))/($D$106/1000)</f>
        <v>51.734056407898301</v>
      </c>
      <c r="F108" s="50">
        <f t="shared" si="7"/>
        <v>1.1498223418413158</v>
      </c>
      <c r="G108" s="50">
        <f t="shared" si="7"/>
        <v>1.0664411073761049</v>
      </c>
      <c r="H108" s="50">
        <f t="shared" si="7"/>
        <v>5.2053999180394284</v>
      </c>
      <c r="I108" s="50">
        <f t="shared" si="7"/>
        <v>0.21985032118724523</v>
      </c>
      <c r="J108" s="50">
        <f t="shared" si="7"/>
        <v>3.6118467583497051</v>
      </c>
      <c r="K108" s="50">
        <f t="shared" si="7"/>
        <v>3.9936385204423543</v>
      </c>
      <c r="L108" s="57">
        <f t="shared" si="7"/>
        <v>66.981055375134417</v>
      </c>
    </row>
    <row r="109" spans="1:14">
      <c r="I109" s="42"/>
      <c r="J109" s="37"/>
      <c r="K109" s="10"/>
    </row>
    <row r="110" spans="1:14">
      <c r="I110" s="11"/>
      <c r="J110" s="12"/>
      <c r="L110" s="37"/>
    </row>
    <row r="111" spans="1:14">
      <c r="I111" s="42"/>
      <c r="J111" s="12"/>
    </row>
    <row r="115" spans="4:11">
      <c r="E115" s="38"/>
      <c r="F115" s="38"/>
      <c r="G115" s="38"/>
      <c r="H115" s="38"/>
      <c r="I115" s="38"/>
      <c r="J115" s="38"/>
      <c r="K115" s="38"/>
    </row>
    <row r="116" spans="4:11">
      <c r="D116" s="15"/>
      <c r="E116" s="40"/>
      <c r="F116" s="40"/>
      <c r="G116" s="40"/>
      <c r="H116" s="40"/>
      <c r="I116" s="40"/>
      <c r="J116" s="40"/>
      <c r="K116" s="38"/>
    </row>
    <row r="117" spans="4:11">
      <c r="D117" s="15"/>
      <c r="E117" s="40"/>
      <c r="F117" s="16"/>
      <c r="G117" s="16"/>
      <c r="H117" s="16"/>
      <c r="I117" s="16"/>
      <c r="J117" s="40"/>
      <c r="K117" s="38"/>
    </row>
    <row r="118" spans="4:11">
      <c r="D118" s="15"/>
      <c r="E118" s="16"/>
      <c r="F118" s="16"/>
      <c r="G118" s="16"/>
      <c r="H118" s="16"/>
      <c r="I118" s="16"/>
      <c r="J118" s="40"/>
      <c r="K118" s="38"/>
    </row>
    <row r="119" spans="4:11">
      <c r="D119" s="15"/>
      <c r="E119" s="16"/>
      <c r="F119" s="16"/>
      <c r="G119" s="16"/>
      <c r="H119" s="16"/>
      <c r="I119" s="16"/>
      <c r="J119" s="40"/>
      <c r="K119" s="38"/>
    </row>
    <row r="120" spans="4:11">
      <c r="D120" s="15"/>
      <c r="E120" s="16"/>
      <c r="F120" s="16"/>
      <c r="G120" s="16"/>
      <c r="H120" s="16"/>
      <c r="I120" s="16"/>
      <c r="J120" s="40"/>
      <c r="K120" s="38"/>
    </row>
    <row r="121" spans="4:11">
      <c r="D121" s="15"/>
      <c r="E121" s="16"/>
      <c r="F121" s="16"/>
      <c r="G121" s="16"/>
      <c r="H121" s="16"/>
      <c r="I121" s="16"/>
      <c r="J121" s="40"/>
      <c r="K121" s="38"/>
    </row>
    <row r="122" spans="4:11">
      <c r="D122" s="15"/>
      <c r="E122" s="16"/>
      <c r="F122" s="16"/>
      <c r="G122" s="16"/>
      <c r="H122" s="16"/>
      <c r="I122" s="16"/>
      <c r="J122" s="40"/>
      <c r="K122" s="38"/>
    </row>
    <row r="123" spans="4:11">
      <c r="D123" s="15"/>
      <c r="E123" s="16"/>
      <c r="F123" s="16"/>
      <c r="G123" s="16"/>
      <c r="H123" s="16"/>
      <c r="I123" s="16"/>
      <c r="J123" s="40"/>
      <c r="K123" s="38"/>
    </row>
    <row r="124" spans="4:11">
      <c r="D124" s="15"/>
      <c r="E124" s="16"/>
      <c r="F124" s="16"/>
      <c r="G124" s="16"/>
      <c r="H124" s="16"/>
      <c r="I124" s="16"/>
      <c r="J124" s="40"/>
      <c r="K124" s="38"/>
    </row>
    <row r="125" spans="4:11">
      <c r="D125" s="15"/>
      <c r="E125" s="16"/>
      <c r="F125" s="16"/>
      <c r="G125" s="16"/>
      <c r="H125" s="16"/>
      <c r="I125" s="16"/>
      <c r="J125" s="40"/>
      <c r="K125" s="38"/>
    </row>
    <row r="126" spans="4:11">
      <c r="D126" s="15"/>
      <c r="E126" s="16"/>
      <c r="F126" s="16"/>
      <c r="G126" s="16"/>
      <c r="H126" s="16"/>
      <c r="I126" s="16"/>
      <c r="J126" s="40"/>
      <c r="K126" s="38"/>
    </row>
    <row r="127" spans="4:11">
      <c r="D127" s="15"/>
      <c r="E127" s="16"/>
      <c r="F127" s="16"/>
      <c r="G127" s="40"/>
      <c r="H127" s="40"/>
      <c r="I127" s="38"/>
      <c r="J127" s="38"/>
      <c r="K127" s="38"/>
    </row>
    <row r="128" spans="4:11">
      <c r="D128" s="15"/>
      <c r="E128" s="40"/>
      <c r="F128" s="40"/>
      <c r="G128" s="40"/>
      <c r="H128" s="40"/>
      <c r="I128" s="38"/>
      <c r="J128" s="38"/>
      <c r="K128" s="38"/>
    </row>
    <row r="129" spans="4:11">
      <c r="D129" s="15"/>
      <c r="E129" s="40"/>
      <c r="F129" s="40"/>
      <c r="G129" s="40"/>
      <c r="H129" s="40"/>
      <c r="I129" s="38"/>
      <c r="J129" s="38"/>
      <c r="K129" s="38"/>
    </row>
    <row r="130" spans="4:11">
      <c r="D130" s="15"/>
      <c r="E130" s="40"/>
      <c r="F130" s="40"/>
      <c r="G130" s="40"/>
      <c r="H130" s="40"/>
      <c r="I130" s="38"/>
      <c r="J130" s="38"/>
      <c r="K130" s="38"/>
    </row>
    <row r="131" spans="4:11">
      <c r="E131" s="38"/>
      <c r="F131" s="38"/>
      <c r="G131" s="38"/>
      <c r="H131" s="38"/>
      <c r="I131" s="38"/>
      <c r="J131" s="38"/>
      <c r="K131" s="38"/>
    </row>
  </sheetData>
  <mergeCells count="1">
    <mergeCell ref="E20:L20"/>
  </mergeCells>
  <printOptions horizontalCentered="1"/>
  <pageMargins left="0.7" right="0.7" top="0.75" bottom="0.75" header="0.3" footer="0.3"/>
  <pageSetup paperSize="5" scale="61" orientation="portrait" r:id="rId1"/>
  <ignoredErrors>
    <ignoredError sqref="H22:H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workbookViewId="0">
      <selection activeCell="O30" sqref="O30"/>
    </sheetView>
  </sheetViews>
  <sheetFormatPr defaultColWidth="9.140625" defaultRowHeight="12.75"/>
  <cols>
    <col min="1" max="1" width="9.140625" style="33"/>
    <col min="2" max="2" width="9.140625" style="46"/>
    <col min="3" max="3" width="13.140625" style="46" customWidth="1"/>
    <col min="4" max="4" width="11.28515625" style="46" customWidth="1"/>
    <col min="5" max="13" width="11.28515625" style="33" customWidth="1"/>
    <col min="14" max="17" width="9.140625" style="33" customWidth="1"/>
    <col min="18" max="18" width="11" style="33" customWidth="1"/>
    <col min="19" max="22" width="9.140625" style="33" customWidth="1"/>
    <col min="23" max="23" width="10.140625" style="33" customWidth="1"/>
    <col min="24" max="16384" width="9.140625" style="33"/>
  </cols>
  <sheetData>
    <row r="1" spans="1:16" ht="20.25">
      <c r="A1" s="64"/>
    </row>
    <row r="3" spans="1:16" ht="26.25">
      <c r="B3" s="22" t="s">
        <v>115</v>
      </c>
      <c r="D3" s="22"/>
      <c r="E3" s="22"/>
      <c r="F3" s="22"/>
      <c r="G3" s="22"/>
      <c r="H3" s="22"/>
      <c r="I3" s="22"/>
      <c r="J3" s="22"/>
      <c r="K3" s="22"/>
      <c r="L3" s="87" t="s">
        <v>130</v>
      </c>
    </row>
    <row r="4" spans="1:16" ht="20.25" customHeight="1">
      <c r="B4" s="24" t="s">
        <v>1</v>
      </c>
      <c r="D4" s="23"/>
    </row>
    <row r="5" spans="1:16">
      <c r="D5" s="33"/>
    </row>
    <row r="6" spans="1:16">
      <c r="C6" s="44" t="s">
        <v>2</v>
      </c>
      <c r="D6" s="45">
        <v>2013</v>
      </c>
      <c r="I6" s="82" t="s">
        <v>124</v>
      </c>
      <c r="J6" s="58" t="s">
        <v>129</v>
      </c>
      <c r="K6" s="58" t="s">
        <v>111</v>
      </c>
      <c r="L6" s="59"/>
      <c r="M6" s="59"/>
    </row>
    <row r="7" spans="1:16">
      <c r="C7" s="45" t="s">
        <v>4</v>
      </c>
      <c r="D7">
        <v>5.05</v>
      </c>
      <c r="E7" s="33" t="s">
        <v>97</v>
      </c>
      <c r="I7" s="71" t="s">
        <v>116</v>
      </c>
      <c r="J7" s="70">
        <f>IF(SUM(E22:G41)=J13," ",SUM(E22:G41))</f>
        <v>6010.9416773795501</v>
      </c>
      <c r="K7" s="70">
        <f>IF(SUM(E22:G41)=J13," ",J7*((1.0705/1.0505)))</f>
        <v>6125.3813095048145</v>
      </c>
      <c r="L7" s="84" t="s">
        <v>118</v>
      </c>
      <c r="M7" s="78"/>
    </row>
    <row r="8" spans="1:16">
      <c r="C8" s="45" t="s">
        <v>5</v>
      </c>
      <c r="D8" s="33">
        <v>67</v>
      </c>
      <c r="E8" s="33" t="s">
        <v>6</v>
      </c>
      <c r="I8" s="72" t="s">
        <v>117</v>
      </c>
      <c r="J8" s="70">
        <f>IF(SUM(E22:G48)/D10*1000=J14," ",SUM(E22:G48)/D10*1000)</f>
        <v>4047.7721733195626</v>
      </c>
      <c r="K8" s="70">
        <f>IF(SUM(E22:G41)/D10*1000=J14," ", J8*((1.0705/1.0505)))</f>
        <v>4124.8358986564408</v>
      </c>
      <c r="L8" s="84" t="s">
        <v>119</v>
      </c>
      <c r="M8" s="78"/>
    </row>
    <row r="9" spans="1:16">
      <c r="C9" s="44" t="s">
        <v>7</v>
      </c>
      <c r="D9" s="33">
        <v>13</v>
      </c>
      <c r="E9" s="42" t="s">
        <v>6</v>
      </c>
      <c r="I9" s="83" t="s">
        <v>126</v>
      </c>
      <c r="J9" s="68">
        <f>IF(L107=J15," ",L107)</f>
        <v>64.937972069708962</v>
      </c>
      <c r="K9" s="68">
        <f>IF(J15=L107," ",J9*((1.0705/1.0505)))</f>
        <v>66.174297097214122</v>
      </c>
      <c r="L9" s="84" t="s">
        <v>98</v>
      </c>
      <c r="M9" s="78"/>
    </row>
    <row r="10" spans="1:16">
      <c r="C10" s="45" t="s">
        <v>106</v>
      </c>
      <c r="D10" s="33">
        <v>1485</v>
      </c>
      <c r="E10" s="33" t="s">
        <v>8</v>
      </c>
      <c r="I10" s="83" t="s">
        <v>127</v>
      </c>
      <c r="J10" s="68">
        <f>IF(L108=J16," ",IF(L108=L107," ",L108))</f>
        <v>71.431769276679859</v>
      </c>
      <c r="K10" s="68">
        <f>IF(J16=L108," ",IF(L108=L107," ",J10*((1.0705/1.0505))))</f>
        <v>72.791726806935543</v>
      </c>
      <c r="L10" s="84" t="s">
        <v>98</v>
      </c>
      <c r="M10" s="78"/>
    </row>
    <row r="11" spans="1:16">
      <c r="C11" s="45" t="s">
        <v>107</v>
      </c>
      <c r="D11" s="33">
        <v>1395</v>
      </c>
      <c r="E11" s="33" t="s">
        <v>8</v>
      </c>
      <c r="G11" s="61"/>
      <c r="H11" s="61"/>
      <c r="L11" s="84"/>
      <c r="M11" s="77"/>
    </row>
    <row r="12" spans="1:16">
      <c r="C12" s="45" t="s">
        <v>108</v>
      </c>
      <c r="D12" s="33">
        <v>1300</v>
      </c>
      <c r="E12" s="33" t="s">
        <v>8</v>
      </c>
      <c r="G12" s="62"/>
      <c r="H12" s="62"/>
      <c r="I12" s="63" t="s">
        <v>125</v>
      </c>
      <c r="J12" s="58" t="s">
        <v>129</v>
      </c>
      <c r="K12" s="58" t="s">
        <v>111</v>
      </c>
      <c r="M12" s="77"/>
    </row>
    <row r="13" spans="1:16">
      <c r="C13" s="45" t="s">
        <v>3</v>
      </c>
      <c r="D13">
        <v>57</v>
      </c>
      <c r="E13" s="33" t="s">
        <v>97</v>
      </c>
      <c r="G13" s="62"/>
      <c r="H13" s="62"/>
      <c r="I13" s="71" t="s">
        <v>116</v>
      </c>
      <c r="J13" s="70">
        <f>SUM(E22:E42)</f>
        <v>6000.4693052595503</v>
      </c>
      <c r="K13" s="70">
        <f>J13*((1.0705/1.0505))</f>
        <v>6114.7095585724401</v>
      </c>
      <c r="L13" s="84" t="s">
        <v>118</v>
      </c>
      <c r="M13" s="77"/>
    </row>
    <row r="14" spans="1:16">
      <c r="C14" s="45" t="s">
        <v>112</v>
      </c>
      <c r="D14" s="1">
        <v>0</v>
      </c>
      <c r="E14" s="33" t="s">
        <v>97</v>
      </c>
      <c r="G14" s="62"/>
      <c r="H14" s="62"/>
      <c r="I14" s="72" t="s">
        <v>117</v>
      </c>
      <c r="J14" s="70">
        <f>SUM(E22:E44)/D10*1000</f>
        <v>4040.7200708818518</v>
      </c>
      <c r="K14" s="70">
        <f>J14*((1.0705/1.0505))</f>
        <v>4117.6495343922152</v>
      </c>
      <c r="L14" s="84" t="s">
        <v>119</v>
      </c>
      <c r="M14" s="77"/>
      <c r="N14" s="84"/>
    </row>
    <row r="15" spans="1:16">
      <c r="C15" s="45" t="s">
        <v>110</v>
      </c>
      <c r="D15" s="33">
        <v>10</v>
      </c>
      <c r="E15" s="33" t="s">
        <v>97</v>
      </c>
      <c r="G15" s="62"/>
      <c r="H15" s="62"/>
      <c r="I15" s="83" t="s">
        <v>126</v>
      </c>
      <c r="J15" s="69">
        <f>E107+H107+J107+K107</f>
        <v>64.846785377480742</v>
      </c>
      <c r="K15" s="68">
        <f>J15*((1.0705/1.0505))</f>
        <v>66.081374342306646</v>
      </c>
      <c r="L15" s="84" t="s">
        <v>98</v>
      </c>
      <c r="M15" s="78"/>
      <c r="N15" s="84"/>
    </row>
    <row r="16" spans="1:16">
      <c r="C16" s="44" t="s">
        <v>95</v>
      </c>
      <c r="D16">
        <v>0.5</v>
      </c>
      <c r="E16" s="33" t="s">
        <v>97</v>
      </c>
      <c r="G16" s="62"/>
      <c r="H16" s="62"/>
      <c r="I16" s="83" t="s">
        <v>127</v>
      </c>
      <c r="J16" s="68">
        <f>IF(L108=L107," ", E108+H108+J108+K108)</f>
        <v>71.331463915228824</v>
      </c>
      <c r="K16" s="68">
        <f>IF(L108=L107," ",J16*((1.0705/1.0505)))</f>
        <v>72.689511776537316</v>
      </c>
      <c r="L16" s="84" t="s">
        <v>98</v>
      </c>
      <c r="M16" s="78"/>
      <c r="N16" s="84"/>
      <c r="P16" s="1"/>
    </row>
    <row r="17" spans="1:21">
      <c r="C17" s="44" t="s">
        <v>99</v>
      </c>
      <c r="D17" s="42">
        <v>3.3426</v>
      </c>
      <c r="E17" s="33" t="s">
        <v>98</v>
      </c>
      <c r="G17" s="62"/>
      <c r="H17" s="62"/>
      <c r="O17" s="44"/>
      <c r="P17" s="1"/>
    </row>
    <row r="18" spans="1:21">
      <c r="C18" s="45" t="s">
        <v>94</v>
      </c>
      <c r="D18" s="45" t="s">
        <v>96</v>
      </c>
      <c r="E18" s="33" t="s">
        <v>109</v>
      </c>
      <c r="K18" s="44"/>
      <c r="O18" s="44"/>
      <c r="P18" s="1"/>
    </row>
    <row r="19" spans="1:21" ht="14.25">
      <c r="C19" s="32"/>
      <c r="D19" s="33"/>
      <c r="E19" s="45"/>
      <c r="F19" s="45"/>
      <c r="O19" s="44"/>
      <c r="P19" s="1"/>
    </row>
    <row r="20" spans="1:21" s="34" customFormat="1" ht="15.75">
      <c r="B20" s="36"/>
      <c r="C20" s="36"/>
      <c r="D20" s="36"/>
      <c r="E20" s="88" t="s">
        <v>9</v>
      </c>
      <c r="F20" s="89"/>
      <c r="G20" s="89"/>
      <c r="H20" s="89"/>
      <c r="I20" s="89"/>
      <c r="J20" s="89"/>
      <c r="K20" s="89"/>
      <c r="L20" s="90"/>
      <c r="M20" s="18"/>
    </row>
    <row r="21" spans="1:21" s="35" customFormat="1" ht="38.25">
      <c r="A21" s="65"/>
      <c r="B21" s="2" t="s">
        <v>93</v>
      </c>
      <c r="C21" s="14" t="s">
        <v>10</v>
      </c>
      <c r="D21" s="2" t="s">
        <v>105</v>
      </c>
      <c r="E21" s="2" t="s">
        <v>11</v>
      </c>
      <c r="F21" s="2" t="s">
        <v>12</v>
      </c>
      <c r="G21" s="2" t="s">
        <v>13</v>
      </c>
      <c r="H21" s="2" t="s">
        <v>121</v>
      </c>
      <c r="I21" s="2" t="s">
        <v>122</v>
      </c>
      <c r="J21" s="2" t="s">
        <v>100</v>
      </c>
      <c r="K21" s="2" t="s">
        <v>123</v>
      </c>
      <c r="L21" s="2" t="s">
        <v>14</v>
      </c>
      <c r="M21" s="17"/>
      <c r="N21" s="43"/>
    </row>
    <row r="22" spans="1:21">
      <c r="A22" s="20"/>
      <c r="B22" s="29"/>
      <c r="C22" s="29" t="s">
        <v>128</v>
      </c>
      <c r="D22" s="19"/>
      <c r="E22" s="31"/>
      <c r="F22" s="19"/>
      <c r="G22" s="19"/>
      <c r="H22" s="19"/>
      <c r="I22" s="19"/>
      <c r="J22" s="19"/>
      <c r="K22" s="19"/>
      <c r="L22" s="3">
        <f>SUM(E22:G22)</f>
        <v>0</v>
      </c>
      <c r="P22" s="4"/>
      <c r="Q22" s="4"/>
      <c r="S22" s="37"/>
      <c r="T22" s="37"/>
      <c r="U22" s="37"/>
    </row>
    <row r="23" spans="1:21">
      <c r="A23" s="20"/>
      <c r="B23" s="66" t="s">
        <v>22</v>
      </c>
      <c r="C23" s="29">
        <v>-13</v>
      </c>
      <c r="D23" s="45">
        <v>0</v>
      </c>
      <c r="E23" s="31">
        <v>0</v>
      </c>
      <c r="F23" s="31"/>
      <c r="G23" s="31">
        <v>0</v>
      </c>
      <c r="H23" s="31">
        <f>SUM($E$22:E23)*($D$16/100)</f>
        <v>0</v>
      </c>
      <c r="I23" s="31">
        <f>SUM($F$22:G23)*($D$16/100)</f>
        <v>0</v>
      </c>
      <c r="J23" s="31">
        <f>$D$17*D22/1000/1.018</f>
        <v>0</v>
      </c>
      <c r="K23" s="31">
        <v>0</v>
      </c>
      <c r="L23" s="3">
        <f t="shared" ref="L23:L86" si="0">SUM(E23:K23)</f>
        <v>0</v>
      </c>
      <c r="N23" s="41"/>
      <c r="P23" s="4"/>
      <c r="Q23" s="4"/>
      <c r="R23" s="37"/>
      <c r="S23" s="37"/>
      <c r="T23" s="37"/>
      <c r="U23" s="37"/>
    </row>
    <row r="24" spans="1:21">
      <c r="A24" s="20"/>
      <c r="B24" s="66" t="s">
        <v>21</v>
      </c>
      <c r="C24" s="29">
        <v>-12</v>
      </c>
      <c r="D24" s="19">
        <v>0</v>
      </c>
      <c r="E24" s="31">
        <v>27.316763988623613</v>
      </c>
      <c r="F24" s="31"/>
      <c r="G24" s="31">
        <v>0</v>
      </c>
      <c r="H24" s="31">
        <f>SUM($E$22:E24)*($D$16/100)</f>
        <v>0.13658381994311808</v>
      </c>
      <c r="I24" s="31">
        <f>SUM($F$22:G24)*($D$16/100)</f>
        <v>0</v>
      </c>
      <c r="J24" s="31">
        <f>$D$17*D24/1000/(1.018*1.021)</f>
        <v>0</v>
      </c>
      <c r="K24" s="31">
        <v>0</v>
      </c>
      <c r="L24" s="3">
        <f t="shared" si="0"/>
        <v>27.453347808566733</v>
      </c>
      <c r="N24" s="41"/>
      <c r="P24" s="4"/>
      <c r="Q24" s="4"/>
      <c r="R24" s="37"/>
      <c r="S24" s="37"/>
      <c r="T24" s="37"/>
      <c r="U24" s="37"/>
    </row>
    <row r="25" spans="1:21">
      <c r="A25" s="20"/>
      <c r="B25" s="66" t="s">
        <v>20</v>
      </c>
      <c r="C25" s="29">
        <v>-11</v>
      </c>
      <c r="D25" s="19">
        <v>0</v>
      </c>
      <c r="E25" s="31">
        <v>30.640745549471617</v>
      </c>
      <c r="F25" s="31"/>
      <c r="G25" s="31">
        <v>0</v>
      </c>
      <c r="H25" s="31">
        <f>SUM($E$22:E25)*($D$16/100)</f>
        <v>0.28978754769047615</v>
      </c>
      <c r="I25" s="31">
        <f>SUM($F$22:G25)*($D$16/100)</f>
        <v>0</v>
      </c>
      <c r="J25" s="31">
        <f>$D$17*D25/1000/(1.018*1.021*1.021)</f>
        <v>0</v>
      </c>
      <c r="K25" s="31">
        <v>0</v>
      </c>
      <c r="L25" s="3">
        <f t="shared" si="0"/>
        <v>30.930533097162094</v>
      </c>
      <c r="N25" s="41"/>
      <c r="P25" s="4"/>
      <c r="Q25" s="4"/>
      <c r="R25" s="37"/>
      <c r="S25" s="37"/>
      <c r="T25" s="37"/>
      <c r="U25" s="37"/>
    </row>
    <row r="26" spans="1:21">
      <c r="A26" s="20"/>
      <c r="B26" s="66" t="s">
        <v>19</v>
      </c>
      <c r="C26" s="29">
        <v>-10</v>
      </c>
      <c r="D26" s="19">
        <v>0</v>
      </c>
      <c r="E26" s="31">
        <v>82.676279205734446</v>
      </c>
      <c r="F26" s="31"/>
      <c r="G26" s="31">
        <v>0</v>
      </c>
      <c r="H26" s="31">
        <f>SUM($E$22:E26)*($D$16/100)</f>
        <v>0.7031689437191484</v>
      </c>
      <c r="I26" s="31">
        <f>SUM($F$22:G26)*($D$16/100)</f>
        <v>0</v>
      </c>
      <c r="J26" s="31">
        <f t="shared" ref="J26:J57" si="1">$D$17*D26/1000/(1.018*1.021*1.021*1.019^(11+C26))</f>
        <v>0</v>
      </c>
      <c r="K26" s="31">
        <v>0</v>
      </c>
      <c r="L26" s="3">
        <f t="shared" si="0"/>
        <v>83.379448149453594</v>
      </c>
      <c r="N26" s="41"/>
      <c r="P26" s="4"/>
      <c r="Q26" s="4"/>
      <c r="R26" s="37"/>
      <c r="S26" s="37"/>
      <c r="T26" s="37"/>
      <c r="U26" s="37"/>
    </row>
    <row r="27" spans="1:21">
      <c r="A27" s="20"/>
      <c r="B27" s="66" t="s">
        <v>18</v>
      </c>
      <c r="C27" s="29">
        <v>-9</v>
      </c>
      <c r="D27" s="19">
        <v>0</v>
      </c>
      <c r="E27" s="31">
        <v>100.89090392872109</v>
      </c>
      <c r="F27" s="31"/>
      <c r="G27" s="31">
        <v>0</v>
      </c>
      <c r="H27" s="31">
        <f>SUM($E$22:E27)*($D$16/100)</f>
        <v>1.2076234633627538</v>
      </c>
      <c r="I27" s="31">
        <f>SUM($F$22:G27)*($D$16/100)</f>
        <v>0</v>
      </c>
      <c r="J27" s="31">
        <f t="shared" si="1"/>
        <v>0</v>
      </c>
      <c r="K27" s="31">
        <v>0</v>
      </c>
      <c r="L27" s="3">
        <f t="shared" si="0"/>
        <v>102.09852739208384</v>
      </c>
      <c r="N27" s="41"/>
      <c r="P27" s="4"/>
      <c r="Q27" s="4"/>
      <c r="S27" s="37"/>
      <c r="T27" s="37"/>
      <c r="U27" s="37"/>
    </row>
    <row r="28" spans="1:21">
      <c r="A28" s="20"/>
      <c r="B28" s="66" t="s">
        <v>17</v>
      </c>
      <c r="C28" s="29">
        <v>-8</v>
      </c>
      <c r="D28" s="19">
        <v>0</v>
      </c>
      <c r="E28" s="31">
        <v>480.56561221965109</v>
      </c>
      <c r="F28" s="31"/>
      <c r="G28" s="31">
        <v>0</v>
      </c>
      <c r="H28" s="31">
        <f>SUM($E$22:E28)*($D$16/100)</f>
        <v>3.6104515244610091</v>
      </c>
      <c r="I28" s="31">
        <f>SUM($F$22:G28)*($D$16/100)</f>
        <v>0</v>
      </c>
      <c r="J28" s="31">
        <f t="shared" si="1"/>
        <v>0</v>
      </c>
      <c r="K28" s="31">
        <v>0</v>
      </c>
      <c r="L28" s="3">
        <f t="shared" si="0"/>
        <v>484.17606374411207</v>
      </c>
      <c r="N28" s="41"/>
      <c r="P28" s="4"/>
      <c r="Q28" s="4"/>
      <c r="S28" s="37"/>
      <c r="T28" s="37"/>
      <c r="U28" s="37"/>
    </row>
    <row r="29" spans="1:21">
      <c r="A29" s="20"/>
      <c r="B29" s="66" t="s">
        <v>16</v>
      </c>
      <c r="C29" s="29">
        <v>-7</v>
      </c>
      <c r="D29" s="19">
        <v>0</v>
      </c>
      <c r="E29" s="31">
        <v>792.6660548999015</v>
      </c>
      <c r="F29" s="31"/>
      <c r="G29" s="31">
        <v>0</v>
      </c>
      <c r="H29" s="31">
        <f>SUM($E$22:E29)*($D$16/100)</f>
        <v>7.5737817989605176</v>
      </c>
      <c r="I29" s="31">
        <f>SUM($F$22:G29)*($D$16/100)</f>
        <v>0</v>
      </c>
      <c r="J29" s="31">
        <f t="shared" si="1"/>
        <v>0</v>
      </c>
      <c r="K29" s="31">
        <v>0</v>
      </c>
      <c r="L29" s="3">
        <f t="shared" si="0"/>
        <v>800.23983669886206</v>
      </c>
      <c r="N29" s="41"/>
      <c r="P29" s="4"/>
      <c r="Q29" s="4"/>
      <c r="S29" s="37"/>
      <c r="T29" s="37"/>
      <c r="U29" s="37"/>
    </row>
    <row r="30" spans="1:21">
      <c r="A30" s="20"/>
      <c r="B30" s="66" t="s">
        <v>23</v>
      </c>
      <c r="C30" s="39">
        <v>-6</v>
      </c>
      <c r="D30" s="51">
        <v>0</v>
      </c>
      <c r="E30" s="3">
        <v>503.25156521306064</v>
      </c>
      <c r="F30" s="3"/>
      <c r="G30" s="3">
        <v>0</v>
      </c>
      <c r="H30" s="3">
        <f>SUM($E$22:E30)*($D$16/100)</f>
        <v>10.09003962502582</v>
      </c>
      <c r="I30" s="3">
        <f>SUM($F$22:G30)*($D$16/100)</f>
        <v>0</v>
      </c>
      <c r="J30" s="3">
        <f t="shared" si="1"/>
        <v>0</v>
      </c>
      <c r="K30" s="3">
        <v>0</v>
      </c>
      <c r="L30" s="3">
        <f t="shared" si="0"/>
        <v>513.34160483808648</v>
      </c>
      <c r="N30" s="41"/>
      <c r="P30" s="4"/>
      <c r="Q30" s="4"/>
      <c r="S30" s="37"/>
      <c r="T30" s="37"/>
      <c r="U30" s="37"/>
    </row>
    <row r="31" spans="1:21">
      <c r="A31" s="20"/>
      <c r="B31" s="66" t="s">
        <v>24</v>
      </c>
      <c r="C31" s="29">
        <v>-5</v>
      </c>
      <c r="D31" s="19">
        <v>0</v>
      </c>
      <c r="E31" s="31">
        <v>897.59916557275835</v>
      </c>
      <c r="F31" s="31"/>
      <c r="G31" s="31">
        <v>0</v>
      </c>
      <c r="H31" s="31">
        <f>SUM($E$22:E31)*($D$16/100)</f>
        <v>14.578035452889612</v>
      </c>
      <c r="I31" s="31">
        <f>SUM($F$22:G31)*($D$16/100)</f>
        <v>0</v>
      </c>
      <c r="J31" s="31">
        <f t="shared" si="1"/>
        <v>0</v>
      </c>
      <c r="K31" s="31">
        <v>0</v>
      </c>
      <c r="L31" s="3">
        <f t="shared" si="0"/>
        <v>912.17720102564795</v>
      </c>
      <c r="N31" s="41"/>
      <c r="P31" s="4"/>
      <c r="Q31" s="4"/>
      <c r="S31" s="37"/>
      <c r="T31" s="37"/>
      <c r="U31" s="37"/>
    </row>
    <row r="32" spans="1:21">
      <c r="A32" s="20"/>
      <c r="B32" s="66" t="s">
        <v>25</v>
      </c>
      <c r="C32" s="29">
        <v>-4</v>
      </c>
      <c r="D32" s="19">
        <v>0</v>
      </c>
      <c r="E32" s="31">
        <v>679.55216577811711</v>
      </c>
      <c r="F32" s="31"/>
      <c r="G32" s="75">
        <v>0.52361819999999992</v>
      </c>
      <c r="H32" s="31">
        <f>SUM($E$22:E32)*($D$16/100)</f>
        <v>17.975796281780198</v>
      </c>
      <c r="I32" s="31">
        <f>SUM($F$22:G32)*($D$16/100)</f>
        <v>2.6180909999999995E-3</v>
      </c>
      <c r="J32" s="31">
        <f t="shared" si="1"/>
        <v>0</v>
      </c>
      <c r="K32" s="31">
        <v>0</v>
      </c>
      <c r="L32" s="3">
        <f t="shared" si="0"/>
        <v>698.05419835089731</v>
      </c>
      <c r="N32" s="41"/>
      <c r="P32" s="4"/>
      <c r="Q32" s="4"/>
      <c r="S32" s="37"/>
      <c r="T32" s="37"/>
      <c r="U32" s="37"/>
    </row>
    <row r="33" spans="1:21">
      <c r="A33" s="20"/>
      <c r="B33" s="66" t="s">
        <v>92</v>
      </c>
      <c r="C33" s="29">
        <v>-3</v>
      </c>
      <c r="D33" s="19">
        <v>0</v>
      </c>
      <c r="E33" s="31">
        <v>613.71539999768595</v>
      </c>
      <c r="F33" s="31"/>
      <c r="G33" s="75">
        <v>1.0472374149999999</v>
      </c>
      <c r="H33" s="31">
        <f>SUM($E$22:E33)*($D$16/100)</f>
        <v>21.044373281768632</v>
      </c>
      <c r="I33" s="31">
        <f>SUM($F$22:G33)*($D$16/100)</f>
        <v>7.8542780749999985E-3</v>
      </c>
      <c r="J33" s="31">
        <f t="shared" si="1"/>
        <v>0</v>
      </c>
      <c r="K33" s="31">
        <v>0</v>
      </c>
      <c r="L33" s="3">
        <f t="shared" si="0"/>
        <v>635.81486497252968</v>
      </c>
      <c r="N33" s="41"/>
      <c r="S33" s="37"/>
      <c r="U33" s="37"/>
    </row>
    <row r="34" spans="1:21">
      <c r="A34" s="20"/>
      <c r="B34" s="66" t="s">
        <v>26</v>
      </c>
      <c r="C34" s="29">
        <v>-2</v>
      </c>
      <c r="D34" s="19">
        <v>0</v>
      </c>
      <c r="E34" s="31">
        <v>491.13480734509415</v>
      </c>
      <c r="F34" s="31"/>
      <c r="G34" s="75">
        <v>2.0944748299999998</v>
      </c>
      <c r="H34" s="31">
        <f>SUM($E$22:E34)*($D$16/100)</f>
        <v>23.500047318494104</v>
      </c>
      <c r="I34" s="31">
        <f>SUM($F$22:G34)*($D$16/100)</f>
        <v>1.8326652224999997E-2</v>
      </c>
      <c r="J34" s="31">
        <f t="shared" si="1"/>
        <v>0</v>
      </c>
      <c r="K34" s="31">
        <v>0</v>
      </c>
      <c r="L34" s="3">
        <f t="shared" si="0"/>
        <v>516.74765614581327</v>
      </c>
      <c r="N34" s="41"/>
    </row>
    <row r="35" spans="1:21">
      <c r="A35" s="20"/>
      <c r="B35" s="74" t="s">
        <v>27</v>
      </c>
      <c r="C35" s="29">
        <v>-1</v>
      </c>
      <c r="D35" s="19">
        <v>0</v>
      </c>
      <c r="E35" s="31">
        <v>863.61154948085277</v>
      </c>
      <c r="F35" s="31"/>
      <c r="G35" s="75">
        <v>4.7125668449999996</v>
      </c>
      <c r="H35" s="31">
        <f>SUM($E$22:E35)*($D$16/100)</f>
        <v>27.818105065898369</v>
      </c>
      <c r="I35" s="31">
        <f>SUM($F$22:G35)*($D$16/100)</f>
        <v>4.1889486449999999E-2</v>
      </c>
      <c r="J35" s="31">
        <f t="shared" si="1"/>
        <v>0</v>
      </c>
      <c r="K35" s="31">
        <v>0</v>
      </c>
      <c r="L35" s="3">
        <f t="shared" si="0"/>
        <v>896.18411087820118</v>
      </c>
      <c r="N35" s="41"/>
    </row>
    <row r="36" spans="1:21">
      <c r="A36" s="20"/>
      <c r="B36" s="67" t="s">
        <v>28</v>
      </c>
      <c r="C36" s="5">
        <v>0</v>
      </c>
      <c r="D36" s="48">
        <v>2200</v>
      </c>
      <c r="E36" s="49">
        <v>386.4568011397418</v>
      </c>
      <c r="F36" s="49"/>
      <c r="G36" s="79">
        <v>2.0944748299999998</v>
      </c>
      <c r="H36" s="49">
        <f>SUM($E$22:E36)*($D$16/100)</f>
        <v>29.750389071597073</v>
      </c>
      <c r="I36" s="49">
        <f>SUM($F$22:G36)*($D$16/100)</f>
        <v>5.2361860599999997E-2</v>
      </c>
      <c r="J36" s="49">
        <f t="shared" si="1"/>
        <v>5.6336751813356294</v>
      </c>
      <c r="K36" s="49">
        <v>13.980895572488926</v>
      </c>
      <c r="L36" s="49">
        <f t="shared" si="0"/>
        <v>437.9685976557634</v>
      </c>
      <c r="N36" s="85"/>
      <c r="O36" s="86"/>
      <c r="P36" s="86"/>
      <c r="Q36" s="37"/>
      <c r="R36" s="86"/>
    </row>
    <row r="37" spans="1:21">
      <c r="A37" s="20"/>
      <c r="B37" s="66" t="s">
        <v>29</v>
      </c>
      <c r="C37" s="29">
        <v>1</v>
      </c>
      <c r="D37" s="19">
        <v>6600</v>
      </c>
      <c r="E37" s="31">
        <v>50.762653281814416</v>
      </c>
      <c r="F37" s="31"/>
      <c r="G37" s="20"/>
      <c r="H37" s="31">
        <f>SUM($E$22:E37)*($D$16/100)</f>
        <v>30.004202338006145</v>
      </c>
      <c r="I37" s="31">
        <f>SUM($F$22:G37)*($D$16/100)</f>
        <v>5.2361860599999997E-2</v>
      </c>
      <c r="J37" s="31">
        <f t="shared" si="1"/>
        <v>16.585893566248174</v>
      </c>
      <c r="K37" s="31">
        <v>14.204665720488926</v>
      </c>
      <c r="L37" s="3">
        <f t="shared" si="0"/>
        <v>111.60977676715765</v>
      </c>
      <c r="N37" s="85"/>
      <c r="O37" s="86"/>
      <c r="Q37" s="37"/>
      <c r="R37" s="86"/>
    </row>
    <row r="38" spans="1:21">
      <c r="A38" s="20"/>
      <c r="B38" s="66" t="s">
        <v>30</v>
      </c>
      <c r="C38" s="29">
        <v>2</v>
      </c>
      <c r="D38" s="19">
        <v>7000</v>
      </c>
      <c r="E38" s="31">
        <v>-0.37116234167815371</v>
      </c>
      <c r="F38" s="31"/>
      <c r="G38" s="20"/>
      <c r="H38" s="31">
        <f>SUM($E$22:E38)*($D$16/100)</f>
        <v>30.002346526297753</v>
      </c>
      <c r="I38" s="31">
        <f>SUM($F$22:G38)*($D$16/100)</f>
        <v>5.2361860599999997E-2</v>
      </c>
      <c r="J38" s="31">
        <f t="shared" si="1"/>
        <v>17.263100330647582</v>
      </c>
      <c r="K38" s="31">
        <v>13.918153022688927</v>
      </c>
      <c r="L38" s="3">
        <f t="shared" si="0"/>
        <v>60.864799398556109</v>
      </c>
      <c r="N38" s="85"/>
      <c r="O38" s="86"/>
      <c r="Q38" s="37"/>
      <c r="R38" s="86"/>
    </row>
    <row r="39" spans="1:21">
      <c r="A39" s="20"/>
      <c r="B39" s="66" t="s">
        <v>31</v>
      </c>
      <c r="C39" s="29">
        <v>3</v>
      </c>
      <c r="D39" s="19">
        <v>7000</v>
      </c>
      <c r="E39" s="31"/>
      <c r="F39" s="31"/>
      <c r="G39" s="20"/>
      <c r="H39" s="31">
        <f>SUM($E$22:E39)*($D$16/100)</f>
        <v>30.002346526297753</v>
      </c>
      <c r="I39" s="31">
        <f>SUM($F$22:G39)*($D$16/100)</f>
        <v>5.2361860599999997E-2</v>
      </c>
      <c r="J39" s="31">
        <f t="shared" si="1"/>
        <v>16.941217203775835</v>
      </c>
      <c r="K39" s="31">
        <v>14.130384650688926</v>
      </c>
      <c r="L39" s="3">
        <f t="shared" si="0"/>
        <v>61.126310241362518</v>
      </c>
      <c r="N39" s="85"/>
      <c r="O39" s="86"/>
      <c r="Q39" s="37"/>
      <c r="R39" s="86"/>
    </row>
    <row r="40" spans="1:21">
      <c r="A40" s="20"/>
      <c r="B40" s="66" t="s">
        <v>32</v>
      </c>
      <c r="C40" s="29">
        <v>4</v>
      </c>
      <c r="D40" s="19">
        <v>7000</v>
      </c>
      <c r="E40" s="31"/>
      <c r="F40" s="31"/>
      <c r="G40" s="20"/>
      <c r="H40" s="31">
        <f>SUM($E$22:E40)*($D$16/100)</f>
        <v>30.002346526297753</v>
      </c>
      <c r="I40" s="31">
        <f>SUM($F$22:G40)*($D$16/100)</f>
        <v>5.2361860599999997E-2</v>
      </c>
      <c r="J40" s="31">
        <f t="shared" si="1"/>
        <v>16.625335823136247</v>
      </c>
      <c r="K40" s="31">
        <v>13.960599348288927</v>
      </c>
      <c r="L40" s="3">
        <f t="shared" si="0"/>
        <v>60.640643558322921</v>
      </c>
      <c r="N40" s="85"/>
      <c r="O40" s="86"/>
      <c r="Q40" s="37"/>
      <c r="R40" s="86"/>
    </row>
    <row r="41" spans="1:21">
      <c r="A41" s="20"/>
      <c r="B41" s="66" t="s">
        <v>33</v>
      </c>
      <c r="C41" s="29">
        <v>5</v>
      </c>
      <c r="D41" s="19">
        <v>7000</v>
      </c>
      <c r="E41" s="31"/>
      <c r="F41" s="31"/>
      <c r="G41" s="20"/>
      <c r="H41" s="31">
        <f>SUM($E$22:E41)*($D$16/100)</f>
        <v>30.002346526297753</v>
      </c>
      <c r="I41" s="31">
        <f>SUM($F$22:G41)*($D$16/100)</f>
        <v>5.2361860599999997E-2</v>
      </c>
      <c r="J41" s="31">
        <f t="shared" si="1"/>
        <v>16.315344281782384</v>
      </c>
      <c r="K41" s="31">
        <v>13.919693554163924</v>
      </c>
      <c r="L41" s="3">
        <f t="shared" si="0"/>
        <v>60.289746222844059</v>
      </c>
      <c r="N41" s="85"/>
      <c r="O41" s="86"/>
      <c r="Q41" s="37"/>
      <c r="R41" s="86"/>
    </row>
    <row r="42" spans="1:21">
      <c r="A42" s="20"/>
      <c r="B42" s="66" t="s">
        <v>34</v>
      </c>
      <c r="C42" s="29">
        <v>6</v>
      </c>
      <c r="D42" s="19">
        <v>7000</v>
      </c>
      <c r="E42" s="31"/>
      <c r="F42" s="31"/>
      <c r="G42" s="20"/>
      <c r="H42" s="31">
        <f>SUM($E$22:E42)*($D$16/100)</f>
        <v>30.002346526297753</v>
      </c>
      <c r="I42" s="31">
        <f>SUM($F$22:G42)*($D$16/100)</f>
        <v>5.2361860599999997E-2</v>
      </c>
      <c r="J42" s="31">
        <f t="shared" si="1"/>
        <v>16.011132759354645</v>
      </c>
      <c r="K42" s="31">
        <v>13.691467155238925</v>
      </c>
      <c r="L42" s="3">
        <f t="shared" si="0"/>
        <v>59.757308301491321</v>
      </c>
      <c r="N42" s="85"/>
      <c r="O42" s="86"/>
      <c r="Q42" s="37"/>
      <c r="R42" s="86"/>
    </row>
    <row r="43" spans="1:21">
      <c r="A43" s="20"/>
      <c r="B43" s="66" t="s">
        <v>35</v>
      </c>
      <c r="C43" s="29">
        <v>7</v>
      </c>
      <c r="D43" s="19">
        <v>7000</v>
      </c>
      <c r="E43" s="31"/>
      <c r="F43" s="31"/>
      <c r="G43" s="20"/>
      <c r="H43" s="31">
        <f>SUM($E$22:E43)*($D$16/100)</f>
        <v>30.002346526297753</v>
      </c>
      <c r="I43" s="31">
        <f>SUM($F$22:G43)*($D$16/100)</f>
        <v>5.2361860599999997E-2</v>
      </c>
      <c r="J43" s="31">
        <f t="shared" si="1"/>
        <v>15.712593483174334</v>
      </c>
      <c r="K43" s="31">
        <v>13.272232291113928</v>
      </c>
      <c r="L43" s="3">
        <f t="shared" si="0"/>
        <v>59.039534161186019</v>
      </c>
      <c r="N43" s="85"/>
      <c r="O43" s="86"/>
      <c r="Q43" s="37"/>
      <c r="R43" s="86"/>
    </row>
    <row r="44" spans="1:21">
      <c r="A44" s="20"/>
      <c r="B44" s="66" t="s">
        <v>36</v>
      </c>
      <c r="C44" s="29">
        <v>8</v>
      </c>
      <c r="D44" s="19">
        <v>7000</v>
      </c>
      <c r="E44" s="31"/>
      <c r="F44" s="31"/>
      <c r="G44" s="20"/>
      <c r="H44" s="31">
        <f>SUM($E$22:E44)*($D$16/100)</f>
        <v>30.002346526297753</v>
      </c>
      <c r="I44" s="31">
        <f>SUM($F$22:G44)*($D$16/100)</f>
        <v>5.2361860599999997E-2</v>
      </c>
      <c r="J44" s="31">
        <f t="shared" si="1"/>
        <v>15.419620690063134</v>
      </c>
      <c r="K44" s="31">
        <v>13.277460682988927</v>
      </c>
      <c r="L44" s="3">
        <f t="shared" si="0"/>
        <v>58.751789759949816</v>
      </c>
      <c r="N44" s="85"/>
      <c r="O44" s="86"/>
      <c r="Q44" s="37"/>
      <c r="R44" s="86"/>
    </row>
    <row r="45" spans="1:21">
      <c r="A45" s="20"/>
      <c r="B45" s="66" t="s">
        <v>37</v>
      </c>
      <c r="C45" s="39">
        <v>9</v>
      </c>
      <c r="D45" s="19">
        <v>7000</v>
      </c>
      <c r="E45" s="31"/>
      <c r="F45" s="31"/>
      <c r="G45" s="20"/>
      <c r="H45" s="31">
        <f>SUM($E$22:E45)*($D$16/100)</f>
        <v>30.002346526297753</v>
      </c>
      <c r="I45" s="31">
        <f>SUM($F$22:G45)*($D$16/100)</f>
        <v>5.2361860599999997E-2</v>
      </c>
      <c r="J45" s="31">
        <f t="shared" si="1"/>
        <v>15.132110588874522</v>
      </c>
      <c r="K45" s="31">
        <v>13.319907008588924</v>
      </c>
      <c r="L45" s="3">
        <f t="shared" si="0"/>
        <v>58.506725984361196</v>
      </c>
      <c r="N45" s="85"/>
      <c r="O45" s="86"/>
      <c r="Q45" s="37"/>
      <c r="R45" s="86"/>
    </row>
    <row r="46" spans="1:21">
      <c r="A46" s="20"/>
      <c r="B46" s="66" t="s">
        <v>38</v>
      </c>
      <c r="C46" s="39">
        <v>10</v>
      </c>
      <c r="D46" s="19">
        <v>7000</v>
      </c>
      <c r="E46" s="31"/>
      <c r="F46" s="31"/>
      <c r="G46" s="20"/>
      <c r="H46" s="31">
        <f>SUM($E$22:E46)*($D$16/100)</f>
        <v>30.002346526297753</v>
      </c>
      <c r="I46" s="31">
        <f>SUM($F$22:G46)*($D$16/100)</f>
        <v>5.2361860599999997E-2</v>
      </c>
      <c r="J46" s="31">
        <f t="shared" si="1"/>
        <v>14.849961323723772</v>
      </c>
      <c r="K46" s="31">
        <v>15.98126128805454</v>
      </c>
      <c r="L46" s="3">
        <f t="shared" si="0"/>
        <v>60.885930998676066</v>
      </c>
      <c r="N46" s="85"/>
      <c r="O46" s="86"/>
      <c r="Q46" s="37"/>
      <c r="R46" s="86"/>
    </row>
    <row r="47" spans="1:21">
      <c r="A47" s="20"/>
      <c r="B47" s="66" t="s">
        <v>39</v>
      </c>
      <c r="C47" s="29">
        <v>11</v>
      </c>
      <c r="D47" s="19">
        <v>7000</v>
      </c>
      <c r="E47" s="31"/>
      <c r="F47" s="31"/>
      <c r="G47" s="20"/>
      <c r="H47" s="31">
        <f>SUM($E$22:E47)*($D$16/100)</f>
        <v>30.002346526297753</v>
      </c>
      <c r="I47" s="31">
        <f>SUM($F$22:G47)*($D$16/100)</f>
        <v>5.2361860599999997E-2</v>
      </c>
      <c r="J47" s="31">
        <f t="shared" si="1"/>
        <v>14.5730729379036</v>
      </c>
      <c r="K47" s="31">
        <v>13.150585682988927</v>
      </c>
      <c r="L47" s="3">
        <f t="shared" si="0"/>
        <v>57.77836700779028</v>
      </c>
      <c r="N47" s="85"/>
      <c r="O47" s="86"/>
      <c r="Q47" s="37"/>
      <c r="R47" s="86"/>
    </row>
    <row r="48" spans="1:21">
      <c r="A48" s="20"/>
      <c r="B48" s="66" t="s">
        <v>40</v>
      </c>
      <c r="C48" s="29">
        <v>12</v>
      </c>
      <c r="D48" s="19">
        <v>7000</v>
      </c>
      <c r="E48" s="31"/>
      <c r="F48" s="31"/>
      <c r="G48" s="20"/>
      <c r="H48" s="31">
        <f>SUM($E$22:E48)*($D$16/100)</f>
        <v>30.002346526297753</v>
      </c>
      <c r="I48" s="31">
        <f>SUM($F$22:G48)*($D$16/100)</f>
        <v>5.2361860599999997E-2</v>
      </c>
      <c r="J48" s="31">
        <f t="shared" si="1"/>
        <v>14.301347338472622</v>
      </c>
      <c r="K48" s="31">
        <v>13.150585682988927</v>
      </c>
      <c r="L48" s="3">
        <f t="shared" si="0"/>
        <v>57.5066414083593</v>
      </c>
      <c r="N48" s="85"/>
      <c r="O48" s="86"/>
      <c r="Q48" s="37"/>
      <c r="R48" s="86"/>
    </row>
    <row r="49" spans="1:18">
      <c r="A49" s="20"/>
      <c r="B49" s="66" t="s">
        <v>41</v>
      </c>
      <c r="C49" s="29">
        <v>13</v>
      </c>
      <c r="D49" s="19">
        <v>7000</v>
      </c>
      <c r="E49" s="31"/>
      <c r="F49" s="31"/>
      <c r="G49" s="20"/>
      <c r="H49" s="31">
        <f>SUM($E$22:E49)*($D$16/100)</f>
        <v>30.002346526297753</v>
      </c>
      <c r="I49" s="31">
        <f>SUM($F$22:G49)*($D$16/100)</f>
        <v>5.2361860599999997E-2</v>
      </c>
      <c r="J49" s="31">
        <f t="shared" si="1"/>
        <v>14.034688261504046</v>
      </c>
      <c r="K49" s="31">
        <v>13.150585682988927</v>
      </c>
      <c r="L49" s="3">
        <f t="shared" si="0"/>
        <v>57.239982331390728</v>
      </c>
      <c r="N49" s="85"/>
      <c r="O49" s="86"/>
      <c r="Q49" s="37"/>
      <c r="R49" s="86"/>
    </row>
    <row r="50" spans="1:18">
      <c r="A50" s="20"/>
      <c r="B50" s="66" t="s">
        <v>42</v>
      </c>
      <c r="C50" s="29">
        <v>14</v>
      </c>
      <c r="D50" s="19">
        <v>7000</v>
      </c>
      <c r="E50" s="31"/>
      <c r="F50" s="31"/>
      <c r="G50" s="20"/>
      <c r="H50" s="31">
        <f>SUM($E$22:E50)*($D$16/100)</f>
        <v>30.002346526297753</v>
      </c>
      <c r="I50" s="31">
        <f>SUM($F$22:G50)*($D$16/100)</f>
        <v>5.2361860599999997E-2</v>
      </c>
      <c r="J50" s="31">
        <f t="shared" si="1"/>
        <v>13.773001237982381</v>
      </c>
      <c r="K50" s="31">
        <v>13.150585682988927</v>
      </c>
      <c r="L50" s="3">
        <f t="shared" si="0"/>
        <v>56.978295307869061</v>
      </c>
      <c r="N50" s="85"/>
      <c r="O50" s="86"/>
      <c r="Q50" s="37"/>
      <c r="R50" s="86"/>
    </row>
    <row r="51" spans="1:18">
      <c r="A51" s="20"/>
      <c r="B51" s="66" t="s">
        <v>43</v>
      </c>
      <c r="C51" s="29">
        <v>15</v>
      </c>
      <c r="D51" s="19">
        <v>7000</v>
      </c>
      <c r="E51" s="31"/>
      <c r="F51" s="31"/>
      <c r="G51" s="20"/>
      <c r="H51" s="31">
        <f>SUM($E$22:E51)*($D$16/100)</f>
        <v>30.002346526297753</v>
      </c>
      <c r="I51" s="31">
        <f>SUM($F$22:G51)*($D$16/100)</f>
        <v>5.2361860599999997E-2</v>
      </c>
      <c r="J51" s="31">
        <f t="shared" si="1"/>
        <v>13.516193560335999</v>
      </c>
      <c r="K51" s="31">
        <v>13.150585682988927</v>
      </c>
      <c r="L51" s="3">
        <f t="shared" si="0"/>
        <v>56.721487630222676</v>
      </c>
      <c r="N51" s="85"/>
      <c r="O51" s="86"/>
      <c r="Q51" s="37"/>
      <c r="R51" s="86"/>
    </row>
    <row r="52" spans="1:18">
      <c r="A52" s="20"/>
      <c r="B52" s="66" t="s">
        <v>44</v>
      </c>
      <c r="C52" s="29">
        <v>16</v>
      </c>
      <c r="D52" s="19">
        <v>7000</v>
      </c>
      <c r="E52" s="31"/>
      <c r="F52" s="31"/>
      <c r="G52" s="20"/>
      <c r="H52" s="31">
        <f>SUM($E$22:E52)*($D$16/100)</f>
        <v>30.002346526297753</v>
      </c>
      <c r="I52" s="31">
        <f>SUM($F$22:G52)*($D$16/100)</f>
        <v>5.2361860599999997E-2</v>
      </c>
      <c r="J52" s="31">
        <f t="shared" si="1"/>
        <v>13.264174249593719</v>
      </c>
      <c r="K52" s="31">
        <v>12.506727981543927</v>
      </c>
      <c r="L52" s="3">
        <f t="shared" si="0"/>
        <v>55.825610618035398</v>
      </c>
      <c r="N52" s="85"/>
      <c r="O52" s="86"/>
      <c r="Q52" s="37"/>
      <c r="R52" s="86"/>
    </row>
    <row r="53" spans="1:18">
      <c r="A53" s="20"/>
      <c r="B53" s="66" t="s">
        <v>45</v>
      </c>
      <c r="C53" s="29">
        <v>17</v>
      </c>
      <c r="D53" s="19">
        <v>7000</v>
      </c>
      <c r="E53" s="31"/>
      <c r="F53" s="31"/>
      <c r="G53" s="20"/>
      <c r="H53" s="31">
        <f>SUM($E$22:E53)*($D$16/100)</f>
        <v>30.002346526297753</v>
      </c>
      <c r="I53" s="31">
        <f>SUM($F$22:G53)*($D$16/100)</f>
        <v>5.2361860599999997E-2</v>
      </c>
      <c r="J53" s="31">
        <f t="shared" si="1"/>
        <v>13.016854023153797</v>
      </c>
      <c r="K53" s="31">
        <v>12.506727981543927</v>
      </c>
      <c r="L53" s="3">
        <f t="shared" si="0"/>
        <v>55.57829039159548</v>
      </c>
      <c r="N53" s="85"/>
      <c r="O53" s="86"/>
      <c r="Q53" s="37"/>
      <c r="R53" s="86"/>
    </row>
    <row r="54" spans="1:18">
      <c r="A54" s="20"/>
      <c r="B54" s="66" t="s">
        <v>46</v>
      </c>
      <c r="C54" s="29">
        <v>18</v>
      </c>
      <c r="D54" s="19">
        <v>7000</v>
      </c>
      <c r="E54" s="31"/>
      <c r="F54" s="31"/>
      <c r="G54" s="20"/>
      <c r="H54" s="31">
        <f>SUM($E$22:E54)*($D$16/100)</f>
        <v>30.002346526297753</v>
      </c>
      <c r="I54" s="31">
        <f>SUM($F$22:G54)*($D$16/100)</f>
        <v>5.2361860599999997E-2</v>
      </c>
      <c r="J54" s="31">
        <f t="shared" si="1"/>
        <v>12.774145263153876</v>
      </c>
      <c r="K54" s="31">
        <v>12.506727981543927</v>
      </c>
      <c r="L54" s="3">
        <f t="shared" si="0"/>
        <v>55.335581631595552</v>
      </c>
      <c r="N54" s="85"/>
      <c r="O54" s="86"/>
      <c r="Q54" s="37"/>
      <c r="R54" s="86"/>
    </row>
    <row r="55" spans="1:18">
      <c r="A55" s="20"/>
      <c r="B55" s="66" t="s">
        <v>47</v>
      </c>
      <c r="C55" s="29">
        <v>19</v>
      </c>
      <c r="D55" s="19">
        <v>7000</v>
      </c>
      <c r="E55" s="31"/>
      <c r="F55" s="31"/>
      <c r="G55" s="20"/>
      <c r="H55" s="31">
        <f>SUM($E$22:E55)*($D$16/100)</f>
        <v>30.002346526297753</v>
      </c>
      <c r="I55" s="31">
        <f>SUM($F$22:G55)*($D$16/100)</f>
        <v>5.2361860599999997E-2</v>
      </c>
      <c r="J55" s="31">
        <f t="shared" si="1"/>
        <v>12.535961985430689</v>
      </c>
      <c r="K55" s="31">
        <v>12.506727981543927</v>
      </c>
      <c r="L55" s="3">
        <f t="shared" si="0"/>
        <v>55.097398353872372</v>
      </c>
      <c r="N55" s="85"/>
      <c r="O55" s="86"/>
      <c r="Q55" s="37"/>
      <c r="R55" s="86"/>
    </row>
    <row r="56" spans="1:18">
      <c r="A56" s="20"/>
      <c r="B56" s="66" t="s">
        <v>48</v>
      </c>
      <c r="C56" s="29">
        <v>20</v>
      </c>
      <c r="D56" s="19">
        <v>7000</v>
      </c>
      <c r="E56" s="31"/>
      <c r="F56" s="31"/>
      <c r="G56" s="20"/>
      <c r="H56" s="31">
        <f>SUM($E$22:E56)*($D$16/100)</f>
        <v>30.002346526297753</v>
      </c>
      <c r="I56" s="31">
        <f>SUM($F$22:G56)*($D$16/100)</f>
        <v>5.2361860599999997E-2</v>
      </c>
      <c r="J56" s="31">
        <f t="shared" si="1"/>
        <v>12.302219809058577</v>
      </c>
      <c r="K56" s="31">
        <v>15.33740358660954</v>
      </c>
      <c r="L56" s="3">
        <f t="shared" si="0"/>
        <v>57.694331782565868</v>
      </c>
      <c r="N56" s="85"/>
      <c r="O56" s="86"/>
      <c r="Q56" s="37"/>
      <c r="R56" s="86"/>
    </row>
    <row r="57" spans="1:18">
      <c r="A57" s="20"/>
      <c r="B57" s="66" t="s">
        <v>49</v>
      </c>
      <c r="C57" s="29">
        <v>21</v>
      </c>
      <c r="D57" s="19">
        <v>7000</v>
      </c>
      <c r="E57" s="31"/>
      <c r="F57" s="31"/>
      <c r="G57" s="31"/>
      <c r="H57" s="31">
        <f>SUM($E$22:E57)*($D$16/100)</f>
        <v>30.002346526297753</v>
      </c>
      <c r="I57" s="31">
        <f>SUM($F$22:G57)*($D$16/100)</f>
        <v>5.2361860599999997E-2</v>
      </c>
      <c r="J57" s="31">
        <f t="shared" si="1"/>
        <v>12.072835926455916</v>
      </c>
      <c r="K57" s="31">
        <v>12.506727981543927</v>
      </c>
      <c r="L57" s="3">
        <f t="shared" si="0"/>
        <v>54.634272294897592</v>
      </c>
      <c r="N57" s="85"/>
      <c r="O57" s="86"/>
      <c r="Q57" s="37"/>
      <c r="R57" s="86"/>
    </row>
    <row r="58" spans="1:18">
      <c r="A58" s="20"/>
      <c r="B58" s="66" t="s">
        <v>50</v>
      </c>
      <c r="C58" s="29">
        <v>22</v>
      </c>
      <c r="D58" s="19">
        <v>7000</v>
      </c>
      <c r="E58" s="31"/>
      <c r="F58" s="31"/>
      <c r="G58" s="31"/>
      <c r="H58" s="31">
        <f>SUM($E$22:E58)*($D$16/100)</f>
        <v>30.002346526297753</v>
      </c>
      <c r="I58" s="31">
        <f>SUM($F$22:G58)*($D$16/100)</f>
        <v>5.2361860599999997E-2</v>
      </c>
      <c r="J58" s="31">
        <f t="shared" ref="J58:J89" si="2">$D$17*D58/1000/(1.018*1.021*1.021*1.019^(11+C58))</f>
        <v>11.847729074048987</v>
      </c>
      <c r="K58" s="31">
        <v>12.506727981543927</v>
      </c>
      <c r="L58" s="3">
        <f t="shared" si="0"/>
        <v>54.409165442490668</v>
      </c>
      <c r="N58" s="85"/>
      <c r="O58" s="86"/>
      <c r="Q58" s="37"/>
      <c r="R58" s="86"/>
    </row>
    <row r="59" spans="1:18">
      <c r="A59" s="20"/>
      <c r="B59" s="66" t="s">
        <v>51</v>
      </c>
      <c r="C59" s="29">
        <v>23</v>
      </c>
      <c r="D59" s="19">
        <v>7000</v>
      </c>
      <c r="E59" s="31"/>
      <c r="F59" s="31"/>
      <c r="G59" s="31"/>
      <c r="H59" s="31">
        <f>SUM($E$22:E59)*($D$16/100)</f>
        <v>30.002346526297753</v>
      </c>
      <c r="I59" s="31">
        <f>SUM($F$22:G59)*($D$16/100)</f>
        <v>5.2361860599999997E-2</v>
      </c>
      <c r="J59" s="31">
        <f t="shared" si="2"/>
        <v>11.626819503482814</v>
      </c>
      <c r="K59" s="31">
        <v>12.506727981543927</v>
      </c>
      <c r="L59" s="3">
        <f t="shared" si="0"/>
        <v>54.18825587192449</v>
      </c>
      <c r="N59" s="85"/>
      <c r="O59" s="86"/>
      <c r="Q59" s="37"/>
      <c r="R59" s="86"/>
    </row>
    <row r="60" spans="1:18">
      <c r="A60" s="20"/>
      <c r="B60" s="66" t="s">
        <v>52</v>
      </c>
      <c r="C60" s="29">
        <v>24</v>
      </c>
      <c r="D60" s="19">
        <v>7000</v>
      </c>
      <c r="E60" s="31"/>
      <c r="F60" s="31"/>
      <c r="G60" s="31"/>
      <c r="H60" s="31">
        <f>SUM($E$22:E60)*($D$16/100)</f>
        <v>30.002346526297753</v>
      </c>
      <c r="I60" s="31">
        <f>SUM($F$22:G60)*($D$16/100)</f>
        <v>5.2361860599999997E-2</v>
      </c>
      <c r="J60" s="31">
        <f t="shared" si="2"/>
        <v>11.410028953368807</v>
      </c>
      <c r="K60" s="31">
        <v>12.506727981543927</v>
      </c>
      <c r="L60" s="3">
        <f t="shared" si="0"/>
        <v>53.971465321810484</v>
      </c>
      <c r="N60" s="85"/>
      <c r="O60" s="86"/>
      <c r="Q60" s="37"/>
      <c r="R60" s="86"/>
    </row>
    <row r="61" spans="1:18">
      <c r="A61" s="20"/>
      <c r="B61" s="66" t="s">
        <v>53</v>
      </c>
      <c r="C61" s="29">
        <v>25</v>
      </c>
      <c r="D61" s="19">
        <v>7000</v>
      </c>
      <c r="E61" s="31"/>
      <c r="F61" s="31"/>
      <c r="G61" s="31"/>
      <c r="H61" s="31">
        <f>SUM($E$22:E61)*($D$16/100)</f>
        <v>30.002346526297753</v>
      </c>
      <c r="I61" s="31">
        <f>SUM($F$22:G61)*($D$16/100)</f>
        <v>5.2361860599999997E-2</v>
      </c>
      <c r="J61" s="31">
        <f t="shared" si="2"/>
        <v>11.19728062155918</v>
      </c>
      <c r="K61" s="31">
        <v>14.205133344583293</v>
      </c>
      <c r="L61" s="3">
        <f t="shared" si="0"/>
        <v>55.457122353040226</v>
      </c>
      <c r="N61" s="85"/>
      <c r="O61" s="86"/>
      <c r="Q61" s="37"/>
      <c r="R61" s="86"/>
    </row>
    <row r="62" spans="1:18">
      <c r="A62" s="20"/>
      <c r="B62" s="66" t="s">
        <v>54</v>
      </c>
      <c r="C62" s="29">
        <v>26</v>
      </c>
      <c r="D62" s="19">
        <v>7000</v>
      </c>
      <c r="E62" s="31"/>
      <c r="F62" s="31"/>
      <c r="G62" s="31"/>
      <c r="H62" s="31">
        <f>SUM($E$22:E62)*($D$16/100)</f>
        <v>30.002346526297753</v>
      </c>
      <c r="I62" s="31">
        <f>SUM($F$22:G62)*($D$16/100)</f>
        <v>5.2361860599999997E-2</v>
      </c>
      <c r="J62" s="31">
        <f t="shared" si="2"/>
        <v>10.988499137938357</v>
      </c>
      <c r="K62" s="31">
        <v>14.205133344583293</v>
      </c>
      <c r="L62" s="3">
        <f t="shared" si="0"/>
        <v>55.248340869419408</v>
      </c>
      <c r="N62" s="85"/>
      <c r="O62" s="86"/>
      <c r="Q62" s="37"/>
      <c r="R62" s="86"/>
    </row>
    <row r="63" spans="1:18">
      <c r="A63" s="20"/>
      <c r="B63" s="66" t="s">
        <v>55</v>
      </c>
      <c r="C63" s="29">
        <v>27</v>
      </c>
      <c r="D63" s="19">
        <v>7000</v>
      </c>
      <c r="E63" s="31"/>
      <c r="F63" s="31"/>
      <c r="G63" s="31"/>
      <c r="H63" s="31">
        <f>SUM($E$22:E63)*($D$16/100)</f>
        <v>30.002346526297753</v>
      </c>
      <c r="I63" s="31">
        <f>SUM($F$22:G63)*($D$16/100)</f>
        <v>5.2361860599999997E-2</v>
      </c>
      <c r="J63" s="31">
        <f t="shared" si="2"/>
        <v>10.783610537721643</v>
      </c>
      <c r="K63" s="31">
        <v>14.205133344583293</v>
      </c>
      <c r="L63" s="3">
        <f t="shared" si="0"/>
        <v>55.043452269202696</v>
      </c>
      <c r="N63" s="85"/>
      <c r="O63" s="86"/>
      <c r="Q63" s="37"/>
      <c r="R63" s="86"/>
    </row>
    <row r="64" spans="1:18">
      <c r="A64" s="20"/>
      <c r="B64" s="66" t="s">
        <v>56</v>
      </c>
      <c r="C64" s="29">
        <v>28</v>
      </c>
      <c r="D64" s="19">
        <v>7000</v>
      </c>
      <c r="E64" s="31"/>
      <c r="F64" s="31"/>
      <c r="G64" s="31"/>
      <c r="H64" s="31">
        <f>SUM($E$22:E64)*($D$16/100)</f>
        <v>30.002346526297753</v>
      </c>
      <c r="I64" s="31">
        <f>SUM($F$22:G64)*($D$16/100)</f>
        <v>5.2361860599999997E-2</v>
      </c>
      <c r="J64" s="31">
        <f t="shared" si="2"/>
        <v>10.582542235251859</v>
      </c>
      <c r="K64" s="31">
        <v>14.205133344583293</v>
      </c>
      <c r="L64" s="3">
        <f t="shared" si="0"/>
        <v>54.84238396673291</v>
      </c>
      <c r="N64" s="85"/>
      <c r="O64" s="86"/>
      <c r="Q64" s="37"/>
      <c r="R64" s="86"/>
    </row>
    <row r="65" spans="1:18">
      <c r="A65" s="20"/>
      <c r="B65" s="66" t="s">
        <v>57</v>
      </c>
      <c r="C65" s="29">
        <v>29</v>
      </c>
      <c r="D65" s="19">
        <v>7000</v>
      </c>
      <c r="E65" s="31"/>
      <c r="F65" s="3"/>
      <c r="G65" s="3"/>
      <c r="H65" s="31">
        <f>SUM($E$22:E65)*($D$16/100)</f>
        <v>30.002346526297753</v>
      </c>
      <c r="I65" s="31">
        <f>SUM($F$22:G65)*($D$16/100)</f>
        <v>5.2361860599999997E-2</v>
      </c>
      <c r="J65" s="31">
        <f t="shared" si="2"/>
        <v>10.385222998284455</v>
      </c>
      <c r="K65" s="31">
        <v>14.205133344583293</v>
      </c>
      <c r="L65" s="3">
        <f t="shared" si="0"/>
        <v>54.645064729765501</v>
      </c>
      <c r="N65" s="85"/>
      <c r="O65" s="86"/>
      <c r="Q65" s="37"/>
      <c r="R65" s="86"/>
    </row>
    <row r="66" spans="1:18">
      <c r="A66" s="20"/>
      <c r="B66" s="66" t="s">
        <v>58</v>
      </c>
      <c r="C66" s="29">
        <v>30</v>
      </c>
      <c r="D66" s="19">
        <v>7000</v>
      </c>
      <c r="E66" s="31"/>
      <c r="F66" s="31"/>
      <c r="G66" s="31"/>
      <c r="H66" s="31">
        <f>SUM($E$22:E66)*($D$16/100)</f>
        <v>30.002346526297753</v>
      </c>
      <c r="I66" s="31">
        <f>SUM($F$22:G66)*($D$16/100)</f>
        <v>5.2361860599999997E-2</v>
      </c>
      <c r="J66" s="31">
        <f t="shared" si="2"/>
        <v>10.191582922752163</v>
      </c>
      <c r="K66" s="31">
        <v>15.33740358660954</v>
      </c>
      <c r="L66" s="3">
        <f t="shared" si="0"/>
        <v>55.583694896259459</v>
      </c>
      <c r="N66" s="85"/>
      <c r="O66" s="86"/>
      <c r="Q66" s="37"/>
      <c r="R66" s="86"/>
    </row>
    <row r="67" spans="1:18">
      <c r="A67" s="20"/>
      <c r="B67" s="66" t="s">
        <v>59</v>
      </c>
      <c r="C67" s="29">
        <v>31</v>
      </c>
      <c r="D67" s="19">
        <v>7000</v>
      </c>
      <c r="E67" s="31"/>
      <c r="F67" s="27"/>
      <c r="G67" s="20"/>
      <c r="H67" s="31">
        <f>SUM($E$22:E67)*($D$16/100)</f>
        <v>30.002346526297753</v>
      </c>
      <c r="I67" s="31">
        <f>SUM($F$22:G67)*($D$16/100)</f>
        <v>5.2361860599999997E-2</v>
      </c>
      <c r="J67" s="31">
        <f t="shared" si="2"/>
        <v>10.001553408000159</v>
      </c>
      <c r="K67" s="31">
        <v>12.506727981543927</v>
      </c>
      <c r="L67" s="3">
        <f t="shared" si="0"/>
        <v>52.562989776441839</v>
      </c>
      <c r="N67" s="85"/>
      <c r="O67" s="86"/>
      <c r="Q67" s="37"/>
      <c r="R67" s="86"/>
    </row>
    <row r="68" spans="1:18">
      <c r="A68" s="20"/>
      <c r="B68" s="66" t="s">
        <v>60</v>
      </c>
      <c r="C68" s="29">
        <v>32</v>
      </c>
      <c r="D68" s="19">
        <v>7000</v>
      </c>
      <c r="E68" s="31"/>
      <c r="F68" s="27"/>
      <c r="G68" s="20"/>
      <c r="H68" s="31">
        <f>SUM($E$22:E68)*($D$16/100)</f>
        <v>30.002346526297753</v>
      </c>
      <c r="I68" s="31">
        <f>SUM($F$22:G68)*($D$16/100)</f>
        <v>5.2361860599999997E-2</v>
      </c>
      <c r="J68" s="31">
        <f t="shared" si="2"/>
        <v>9.8150671324829837</v>
      </c>
      <c r="K68" s="31">
        <v>12.506727981543927</v>
      </c>
      <c r="L68" s="3">
        <f t="shared" si="0"/>
        <v>52.376503500924663</v>
      </c>
      <c r="N68" s="85"/>
      <c r="O68" s="86"/>
      <c r="Q68" s="37"/>
      <c r="R68" s="86"/>
    </row>
    <row r="69" spans="1:18">
      <c r="A69" s="20"/>
      <c r="B69" s="66" t="s">
        <v>61</v>
      </c>
      <c r="C69" s="29">
        <v>33</v>
      </c>
      <c r="D69" s="19">
        <v>7000</v>
      </c>
      <c r="E69" s="31"/>
      <c r="F69" s="27"/>
      <c r="G69" s="20"/>
      <c r="H69" s="31">
        <f>SUM($E$22:E69)*($D$16/100)</f>
        <v>30.002346526297753</v>
      </c>
      <c r="I69" s="31">
        <f>SUM($F$22:G69)*($D$16/100)</f>
        <v>5.2361860599999997E-2</v>
      </c>
      <c r="J69" s="31">
        <f t="shared" si="2"/>
        <v>9.6320580299146084</v>
      </c>
      <c r="K69" s="31">
        <v>12.506727981543927</v>
      </c>
      <c r="L69" s="3">
        <f t="shared" si="0"/>
        <v>52.193494398356286</v>
      </c>
      <c r="N69" s="85"/>
      <c r="O69" s="86"/>
      <c r="Q69" s="37"/>
      <c r="R69" s="86"/>
    </row>
    <row r="70" spans="1:18">
      <c r="A70" s="20"/>
      <c r="B70" s="66" t="s">
        <v>62</v>
      </c>
      <c r="C70" s="29">
        <v>34</v>
      </c>
      <c r="D70" s="19">
        <v>7000</v>
      </c>
      <c r="E70" s="31"/>
      <c r="F70" s="27"/>
      <c r="G70" s="20"/>
      <c r="H70" s="31">
        <f>SUM($E$22:E70)*($D$16/100)</f>
        <v>30.002346526297753</v>
      </c>
      <c r="I70" s="31">
        <f>SUM($F$22:G70)*($D$16/100)</f>
        <v>5.2361860599999997E-2</v>
      </c>
      <c r="J70" s="31">
        <f t="shared" si="2"/>
        <v>9.4524612658632101</v>
      </c>
      <c r="K70" s="31">
        <v>12.506727981543927</v>
      </c>
      <c r="L70" s="3">
        <f t="shared" si="0"/>
        <v>52.01389763430489</v>
      </c>
      <c r="N70" s="85"/>
      <c r="O70" s="86"/>
      <c r="Q70" s="37"/>
      <c r="R70" s="86"/>
    </row>
    <row r="71" spans="1:18">
      <c r="A71" s="20"/>
      <c r="B71" s="66" t="s">
        <v>63</v>
      </c>
      <c r="C71" s="29">
        <v>35</v>
      </c>
      <c r="D71" s="19">
        <v>7000</v>
      </c>
      <c r="E71" s="31"/>
      <c r="F71" s="27"/>
      <c r="G71" s="20"/>
      <c r="H71" s="31">
        <f>SUM($E$22:E71)*($D$16/100)</f>
        <v>30.002346526297753</v>
      </c>
      <c r="I71" s="31">
        <f>SUM($F$22:G71)*($D$16/100)</f>
        <v>5.2361860599999997E-2</v>
      </c>
      <c r="J71" s="31">
        <f t="shared" si="2"/>
        <v>9.2762132147823433</v>
      </c>
      <c r="K71" s="31">
        <v>12.506727981543927</v>
      </c>
      <c r="L71" s="3">
        <f t="shared" si="0"/>
        <v>51.837649583224021</v>
      </c>
      <c r="N71" s="85"/>
      <c r="O71" s="86"/>
      <c r="Q71" s="37"/>
      <c r="R71" s="86"/>
    </row>
    <row r="72" spans="1:18">
      <c r="A72" s="20"/>
      <c r="B72" s="66" t="s">
        <v>64</v>
      </c>
      <c r="C72" s="29">
        <v>36</v>
      </c>
      <c r="D72" s="19">
        <v>7000</v>
      </c>
      <c r="E72" s="31"/>
      <c r="F72" s="27"/>
      <c r="G72" s="20"/>
      <c r="H72" s="31">
        <f>SUM($E$22:E72)*($D$16/100)</f>
        <v>30.002346526297753</v>
      </c>
      <c r="I72" s="31">
        <f>SUM($F$22:G72)*($D$16/100)</f>
        <v>5.2361860599999997E-2</v>
      </c>
      <c r="J72" s="31">
        <f t="shared" si="2"/>
        <v>9.103251437470405</v>
      </c>
      <c r="K72" s="31">
        <v>12.506727981543927</v>
      </c>
      <c r="L72" s="3">
        <f t="shared" si="0"/>
        <v>51.664687805912088</v>
      </c>
      <c r="N72" s="85"/>
      <c r="O72" s="86"/>
      <c r="Q72" s="37"/>
      <c r="R72" s="86"/>
    </row>
    <row r="73" spans="1:18">
      <c r="A73" s="20"/>
      <c r="B73" s="66" t="s">
        <v>65</v>
      </c>
      <c r="C73" s="29">
        <v>37</v>
      </c>
      <c r="D73" s="19">
        <v>7000</v>
      </c>
      <c r="E73" s="31"/>
      <c r="F73" s="27"/>
      <c r="G73" s="20"/>
      <c r="H73" s="31">
        <f>SUM($E$22:E73)*($D$16/100)</f>
        <v>30.002346526297753</v>
      </c>
      <c r="I73" s="31">
        <f>SUM($F$22:G73)*($D$16/100)</f>
        <v>5.2361860599999997E-2</v>
      </c>
      <c r="J73" s="31">
        <f t="shared" si="2"/>
        <v>8.9335146589503509</v>
      </c>
      <c r="K73" s="31">
        <v>27.650842468644964</v>
      </c>
      <c r="L73" s="3">
        <f t="shared" si="0"/>
        <v>66.639065514493069</v>
      </c>
      <c r="N73" s="85"/>
      <c r="O73" s="86"/>
      <c r="Q73" s="37"/>
      <c r="R73" s="86"/>
    </row>
    <row r="74" spans="1:18">
      <c r="A74" s="20"/>
      <c r="B74" s="66" t="s">
        <v>66</v>
      </c>
      <c r="C74" s="29">
        <v>38</v>
      </c>
      <c r="D74" s="19">
        <v>7000</v>
      </c>
      <c r="E74" s="31"/>
      <c r="F74" s="27"/>
      <c r="G74" s="20"/>
      <c r="H74" s="31">
        <f>SUM($E$22:E74)*($D$16/100)</f>
        <v>30.002346526297753</v>
      </c>
      <c r="I74" s="31">
        <f>SUM($F$22:G74)*($D$16/100)</f>
        <v>5.2361860599999997E-2</v>
      </c>
      <c r="J74" s="31">
        <f t="shared" si="2"/>
        <v>8.7669427467618739</v>
      </c>
      <c r="K74" s="31">
        <v>12.506727981543927</v>
      </c>
      <c r="L74" s="3">
        <f t="shared" si="0"/>
        <v>51.328379115203553</v>
      </c>
      <c r="N74" s="85"/>
      <c r="O74" s="86"/>
      <c r="Q74" s="37"/>
      <c r="R74" s="86"/>
    </row>
    <row r="75" spans="1:18">
      <c r="A75" s="20"/>
      <c r="B75" s="66" t="s">
        <v>67</v>
      </c>
      <c r="C75" s="29">
        <v>39</v>
      </c>
      <c r="D75" s="19">
        <v>7000</v>
      </c>
      <c r="E75" s="31"/>
      <c r="F75" s="27"/>
      <c r="G75" s="20"/>
      <c r="H75" s="31">
        <f>SUM($E$22:E75)*($D$16/100)</f>
        <v>30.002346526297753</v>
      </c>
      <c r="I75" s="31">
        <f>SUM($F$22:G75)*($D$16/100)</f>
        <v>5.2361860599999997E-2</v>
      </c>
      <c r="J75" s="31">
        <f t="shared" si="2"/>
        <v>8.6034766896583648</v>
      </c>
      <c r="K75" s="31">
        <v>27.650842468644964</v>
      </c>
      <c r="L75" s="3">
        <f t="shared" si="0"/>
        <v>66.30902754520109</v>
      </c>
      <c r="N75" s="85"/>
      <c r="O75" s="86"/>
      <c r="Q75" s="37"/>
      <c r="R75" s="86"/>
    </row>
    <row r="76" spans="1:18">
      <c r="A76" s="20"/>
      <c r="B76" s="66" t="s">
        <v>68</v>
      </c>
      <c r="C76" s="29">
        <v>40</v>
      </c>
      <c r="D76" s="19">
        <v>7000</v>
      </c>
      <c r="E76" s="31"/>
      <c r="F76" s="27"/>
      <c r="G76" s="20"/>
      <c r="H76" s="31">
        <f>SUM($E$22:E76)*($D$16/100)</f>
        <v>30.002346526297753</v>
      </c>
      <c r="I76" s="31">
        <f>SUM($F$22:G76)*($D$16/100)</f>
        <v>5.2361860599999997E-2</v>
      </c>
      <c r="J76" s="31">
        <f t="shared" si="2"/>
        <v>8.4430585767010449</v>
      </c>
      <c r="K76" s="31">
        <v>15.33740358660954</v>
      </c>
      <c r="L76" s="3">
        <f t="shared" si="0"/>
        <v>53.835170550208339</v>
      </c>
      <c r="N76" s="85"/>
      <c r="O76" s="86"/>
      <c r="Q76" s="37"/>
      <c r="R76" s="86"/>
    </row>
    <row r="77" spans="1:18">
      <c r="A77" s="20"/>
      <c r="B77" s="66" t="s">
        <v>69</v>
      </c>
      <c r="C77" s="29">
        <v>41</v>
      </c>
      <c r="D77" s="19">
        <v>7000</v>
      </c>
      <c r="E77" s="31"/>
      <c r="F77" s="27"/>
      <c r="G77" s="20"/>
      <c r="H77" s="31">
        <f>SUM($E$22:E77)*($D$16/100)</f>
        <v>30.002346526297753</v>
      </c>
      <c r="I77" s="31">
        <f>SUM($F$22:G77)*($D$16/100)</f>
        <v>5.2361860599999997E-2</v>
      </c>
      <c r="J77" s="31">
        <f t="shared" si="2"/>
        <v>8.2856315767429312</v>
      </c>
      <c r="K77" s="31">
        <v>27.650842468644964</v>
      </c>
      <c r="L77" s="3">
        <f t="shared" si="0"/>
        <v>65.991182432285655</v>
      </c>
      <c r="N77" s="85"/>
      <c r="O77" s="86"/>
      <c r="Q77" s="37"/>
      <c r="R77" s="86"/>
    </row>
    <row r="78" spans="1:18">
      <c r="A78" s="20"/>
      <c r="B78" s="66" t="s">
        <v>70</v>
      </c>
      <c r="C78" s="29">
        <v>42</v>
      </c>
      <c r="D78" s="19">
        <v>7000</v>
      </c>
      <c r="E78" s="31"/>
      <c r="F78" s="27"/>
      <c r="G78" s="20"/>
      <c r="H78" s="31">
        <f>SUM($E$22:E78)*($D$16/100)</f>
        <v>30.002346526297753</v>
      </c>
      <c r="I78" s="31">
        <f>SUM($F$22:G78)*($D$16/100)</f>
        <v>5.2361860599999997E-2</v>
      </c>
      <c r="J78" s="31">
        <f t="shared" si="2"/>
        <v>8.1311399182953199</v>
      </c>
      <c r="K78" s="31">
        <v>12.506727981543927</v>
      </c>
      <c r="L78" s="3">
        <f t="shared" si="0"/>
        <v>50.692576286737001</v>
      </c>
      <c r="N78" s="85"/>
      <c r="O78" s="86"/>
      <c r="Q78" s="37"/>
      <c r="R78" s="86"/>
    </row>
    <row r="79" spans="1:18">
      <c r="A79" s="20"/>
      <c r="B79" s="66" t="s">
        <v>71</v>
      </c>
      <c r="C79" s="29">
        <v>43</v>
      </c>
      <c r="D79" s="19">
        <v>7000</v>
      </c>
      <c r="E79" s="31"/>
      <c r="F79" s="27"/>
      <c r="G79" s="20"/>
      <c r="H79" s="31">
        <f>SUM($E$22:E79)*($D$16/100)</f>
        <v>30.002346526297753</v>
      </c>
      <c r="I79" s="31">
        <f>SUM($F$22:G79)*($D$16/100)</f>
        <v>5.2361860599999997E-2</v>
      </c>
      <c r="J79" s="31">
        <f t="shared" si="2"/>
        <v>7.9795288697696938</v>
      </c>
      <c r="K79" s="31">
        <v>27.650842468644964</v>
      </c>
      <c r="L79" s="3">
        <f t="shared" si="0"/>
        <v>65.685079725312406</v>
      </c>
      <c r="N79" s="85"/>
      <c r="O79" s="86"/>
      <c r="Q79" s="37"/>
      <c r="R79" s="86"/>
    </row>
    <row r="80" spans="1:18">
      <c r="A80" s="20"/>
      <c r="B80" s="66" t="s">
        <v>72</v>
      </c>
      <c r="C80" s="29">
        <v>44</v>
      </c>
      <c r="D80" s="19">
        <v>7000</v>
      </c>
      <c r="E80" s="31"/>
      <c r="F80" s="27"/>
      <c r="G80" s="20"/>
      <c r="H80" s="31">
        <f>SUM($E$22:E80)*($D$16/100)</f>
        <v>30.002346526297753</v>
      </c>
      <c r="I80" s="31">
        <f>SUM($F$22:G80)*($D$16/100)</f>
        <v>5.2361860599999997E-2</v>
      </c>
      <c r="J80" s="31">
        <f t="shared" si="2"/>
        <v>7.8307447200880231</v>
      </c>
      <c r="K80" s="31">
        <v>12.506727981543927</v>
      </c>
      <c r="L80" s="3">
        <f t="shared" si="0"/>
        <v>50.392181088529703</v>
      </c>
      <c r="N80" s="85"/>
      <c r="O80" s="86"/>
      <c r="Q80" s="37"/>
      <c r="R80" s="86"/>
    </row>
    <row r="81" spans="1:18">
      <c r="A81" s="20"/>
      <c r="B81" s="66" t="s">
        <v>73</v>
      </c>
      <c r="C81" s="29">
        <v>45</v>
      </c>
      <c r="D81" s="19">
        <v>7000</v>
      </c>
      <c r="E81" s="31"/>
      <c r="F81" s="27"/>
      <c r="G81" s="20"/>
      <c r="H81" s="31">
        <f>SUM($E$22:E81)*($D$16/100)</f>
        <v>30.002346526297753</v>
      </c>
      <c r="I81" s="31">
        <f>SUM($F$22:G81)*($D$16/100)</f>
        <v>5.2361860599999997E-2</v>
      </c>
      <c r="J81" s="31">
        <f t="shared" si="2"/>
        <v>7.684734759654587</v>
      </c>
      <c r="K81" s="31">
        <v>27.650842468644964</v>
      </c>
      <c r="L81" s="3">
        <f t="shared" si="0"/>
        <v>65.3902856151973</v>
      </c>
      <c r="N81" s="85"/>
      <c r="O81" s="86"/>
      <c r="Q81" s="37"/>
      <c r="R81" s="86"/>
    </row>
    <row r="82" spans="1:18">
      <c r="A82" s="20"/>
      <c r="B82" s="66" t="s">
        <v>74</v>
      </c>
      <c r="C82" s="29">
        <v>46</v>
      </c>
      <c r="D82" s="19">
        <v>7000</v>
      </c>
      <c r="E82" s="31"/>
      <c r="F82" s="27"/>
      <c r="G82" s="20"/>
      <c r="H82" s="31">
        <f>SUM($E$22:E82)*($D$16/100)</f>
        <v>30.002346526297753</v>
      </c>
      <c r="I82" s="31">
        <f>SUM($F$22:G82)*($D$16/100)</f>
        <v>5.2361860599999997E-2</v>
      </c>
      <c r="J82" s="31">
        <f t="shared" si="2"/>
        <v>7.5414472616826176</v>
      </c>
      <c r="K82" s="31">
        <v>12.506727981543927</v>
      </c>
      <c r="L82" s="3">
        <f t="shared" si="0"/>
        <v>50.102883630124296</v>
      </c>
      <c r="N82" s="85"/>
      <c r="O82" s="86"/>
      <c r="Q82" s="37"/>
      <c r="R82" s="86"/>
    </row>
    <row r="83" spans="1:18">
      <c r="A83" s="20"/>
      <c r="B83" s="66" t="s">
        <v>75</v>
      </c>
      <c r="C83" s="29">
        <v>47</v>
      </c>
      <c r="D83" s="19">
        <v>7000</v>
      </c>
      <c r="E83" s="31"/>
      <c r="F83" s="27"/>
      <c r="G83" s="20"/>
      <c r="H83" s="31">
        <f>SUM($E$22:E83)*($D$16/100)</f>
        <v>30.002346526297753</v>
      </c>
      <c r="I83" s="31">
        <f>SUM($F$22:G83)*($D$16/100)</f>
        <v>5.2361860599999997E-2</v>
      </c>
      <c r="J83" s="31">
        <f t="shared" si="2"/>
        <v>7.4008314638691051</v>
      </c>
      <c r="K83" s="31">
        <v>27.650842468644964</v>
      </c>
      <c r="L83" s="3">
        <f t="shared" si="0"/>
        <v>65.106382319411821</v>
      </c>
      <c r="N83" s="85"/>
      <c r="O83" s="86"/>
      <c r="Q83" s="37"/>
      <c r="R83" s="86"/>
    </row>
    <row r="84" spans="1:18">
      <c r="A84" s="20"/>
      <c r="B84" s="66" t="s">
        <v>76</v>
      </c>
      <c r="C84" s="29">
        <v>48</v>
      </c>
      <c r="D84" s="19">
        <v>7000</v>
      </c>
      <c r="E84" s="31"/>
      <c r="F84" s="27"/>
      <c r="G84" s="20"/>
      <c r="H84" s="31">
        <f>SUM($E$22:E84)*($D$16/100)</f>
        <v>30.002346526297753</v>
      </c>
      <c r="I84" s="31">
        <f>SUM($F$22:G84)*($D$16/100)</f>
        <v>5.2361860599999997E-2</v>
      </c>
      <c r="J84" s="31">
        <f t="shared" si="2"/>
        <v>7.262837550411291</v>
      </c>
      <c r="K84" s="31">
        <v>12.506727981543927</v>
      </c>
      <c r="L84" s="3">
        <f t="shared" si="0"/>
        <v>49.824273918852974</v>
      </c>
      <c r="N84" s="85"/>
      <c r="O84" s="86"/>
      <c r="Q84" s="37"/>
      <c r="R84" s="86"/>
    </row>
    <row r="85" spans="1:18">
      <c r="A85" s="20"/>
      <c r="B85" s="66" t="s">
        <v>77</v>
      </c>
      <c r="C85" s="29">
        <v>49</v>
      </c>
      <c r="D85" s="19">
        <v>7000</v>
      </c>
      <c r="E85" s="31"/>
      <c r="F85" s="27"/>
      <c r="G85" s="20"/>
      <c r="H85" s="31">
        <f>SUM($E$22:E85)*($D$16/100)</f>
        <v>30.002346526297753</v>
      </c>
      <c r="I85" s="31">
        <f>SUM($F$22:G85)*($D$16/100)</f>
        <v>5.2361860599999997E-2</v>
      </c>
      <c r="J85" s="31">
        <f t="shared" si="2"/>
        <v>7.1274166343584815</v>
      </c>
      <c r="K85" s="31">
        <v>27.650842468644964</v>
      </c>
      <c r="L85" s="3">
        <f t="shared" si="0"/>
        <v>64.832967489901193</v>
      </c>
      <c r="N85" s="85"/>
      <c r="O85" s="86"/>
      <c r="Q85" s="37"/>
      <c r="R85" s="86"/>
    </row>
    <row r="86" spans="1:18">
      <c r="A86" s="20"/>
      <c r="B86" s="66" t="s">
        <v>78</v>
      </c>
      <c r="C86" s="29">
        <v>50</v>
      </c>
      <c r="D86" s="19">
        <v>7000</v>
      </c>
      <c r="E86" s="31"/>
      <c r="F86" s="27"/>
      <c r="G86" s="20"/>
      <c r="H86" s="31">
        <f>SUM($E$22:E86)*($D$16/100)</f>
        <v>30.002346526297753</v>
      </c>
      <c r="I86" s="31">
        <f>SUM($F$22:G86)*($D$16/100)</f>
        <v>5.2361860599999997E-2</v>
      </c>
      <c r="J86" s="31">
        <f t="shared" si="2"/>
        <v>6.9945207402929164</v>
      </c>
      <c r="K86" s="31">
        <v>15.33740358660954</v>
      </c>
      <c r="L86" s="3">
        <f t="shared" si="0"/>
        <v>52.386632713800211</v>
      </c>
      <c r="N86" s="85"/>
      <c r="O86" s="86"/>
      <c r="Q86" s="37"/>
      <c r="R86" s="86"/>
    </row>
    <row r="87" spans="1:18">
      <c r="A87" s="20"/>
      <c r="B87" s="66" t="s">
        <v>79</v>
      </c>
      <c r="C87" s="29">
        <v>51</v>
      </c>
      <c r="D87" s="19">
        <v>7000</v>
      </c>
      <c r="E87" s="31"/>
      <c r="F87" s="27"/>
      <c r="G87" s="20"/>
      <c r="H87" s="31">
        <f>SUM($E$22:E87)*($D$16/100)</f>
        <v>30.002346526297753</v>
      </c>
      <c r="I87" s="31">
        <f>SUM($F$22:G87)*($D$16/100)</f>
        <v>5.2361860599999997E-2</v>
      </c>
      <c r="J87" s="31">
        <f t="shared" si="2"/>
        <v>6.864102787333576</v>
      </c>
      <c r="K87" s="31">
        <v>29.349247831684334</v>
      </c>
      <c r="L87" s="3">
        <f t="shared" ref="L87:L104" si="3">SUM(E87:K87)</f>
        <v>66.26805900591566</v>
      </c>
      <c r="N87" s="85"/>
      <c r="O87" s="86"/>
      <c r="Q87" s="37"/>
      <c r="R87" s="86"/>
    </row>
    <row r="88" spans="1:18">
      <c r="A88" s="20"/>
      <c r="B88" s="66" t="s">
        <v>80</v>
      </c>
      <c r="C88" s="29">
        <v>52</v>
      </c>
      <c r="D88" s="19">
        <v>7000</v>
      </c>
      <c r="E88" s="31"/>
      <c r="F88" s="27"/>
      <c r="G88" s="20"/>
      <c r="H88" s="31">
        <f>SUM($E$22:E88)*($D$16/100)</f>
        <v>30.002346526297753</v>
      </c>
      <c r="I88" s="31">
        <f>SUM($F$22:G88)*($D$16/100)</f>
        <v>5.2361860599999997E-2</v>
      </c>
      <c r="J88" s="31">
        <f t="shared" si="2"/>
        <v>6.7361165724568961</v>
      </c>
      <c r="K88" s="31">
        <v>14.205133344583293</v>
      </c>
      <c r="L88" s="3">
        <f t="shared" si="3"/>
        <v>50.995958303937947</v>
      </c>
      <c r="N88" s="85"/>
      <c r="O88" s="86"/>
      <c r="Q88" s="37"/>
      <c r="R88" s="86"/>
    </row>
    <row r="89" spans="1:18">
      <c r="A89" s="20"/>
      <c r="B89" s="66" t="s">
        <v>81</v>
      </c>
      <c r="C89" s="29">
        <v>53</v>
      </c>
      <c r="D89" s="19">
        <v>7000</v>
      </c>
      <c r="E89" s="31"/>
      <c r="F89" s="27"/>
      <c r="G89" s="20"/>
      <c r="H89" s="31">
        <f>SUM($E$22:E89)*($D$16/100)</f>
        <v>30.002346526297753</v>
      </c>
      <c r="I89" s="31">
        <f>SUM($F$22:G89)*($D$16/100)</f>
        <v>5.2361860599999997E-2</v>
      </c>
      <c r="J89" s="31">
        <f t="shared" si="2"/>
        <v>6.6105167541284553</v>
      </c>
      <c r="K89" s="31">
        <v>29.349247831684334</v>
      </c>
      <c r="L89" s="3">
        <f t="shared" si="3"/>
        <v>66.01447297271055</v>
      </c>
      <c r="N89" s="85"/>
      <c r="O89" s="86"/>
      <c r="Q89" s="37"/>
      <c r="R89" s="86"/>
    </row>
    <row r="90" spans="1:18">
      <c r="A90" s="20"/>
      <c r="B90" s="66" t="s">
        <v>82</v>
      </c>
      <c r="C90" s="29">
        <v>54</v>
      </c>
      <c r="D90" s="19">
        <v>7000</v>
      </c>
      <c r="E90" s="31"/>
      <c r="F90" s="27"/>
      <c r="G90" s="20"/>
      <c r="H90" s="31">
        <f>SUM($E$22:E90)*($D$16/100)</f>
        <v>30.002346526297753</v>
      </c>
      <c r="I90" s="31">
        <f>SUM($F$22:G90)*($D$16/100)</f>
        <v>5.2361860599999997E-2</v>
      </c>
      <c r="J90" s="31">
        <f t="shared" ref="J90:J104" si="4">$D$17*D90/1000/(1.018*1.021*1.021*1.019^(11+C90))</f>
        <v>6.4872588362398984</v>
      </c>
      <c r="K90" s="31">
        <v>14.205133344583293</v>
      </c>
      <c r="L90" s="3">
        <f t="shared" si="3"/>
        <v>50.747100567720949</v>
      </c>
      <c r="N90" s="85"/>
      <c r="O90" s="86"/>
      <c r="Q90" s="37"/>
      <c r="R90" s="86"/>
    </row>
    <row r="91" spans="1:18">
      <c r="A91" s="20"/>
      <c r="B91" s="66" t="s">
        <v>83</v>
      </c>
      <c r="C91" s="29">
        <v>55</v>
      </c>
      <c r="D91" s="19">
        <v>7000</v>
      </c>
      <c r="E91" s="31"/>
      <c r="F91" s="27"/>
      <c r="G91" s="20"/>
      <c r="H91" s="31">
        <f>SUM($E$22:E91)*($D$16/100)</f>
        <v>30.002346526297753</v>
      </c>
      <c r="I91" s="31">
        <f>SUM($F$22:G91)*($D$16/100)</f>
        <v>5.2361860599999997E-2</v>
      </c>
      <c r="J91" s="31">
        <f t="shared" si="4"/>
        <v>6.3662991523453369</v>
      </c>
      <c r="K91" s="31">
        <v>29.349247831684334</v>
      </c>
      <c r="L91" s="3">
        <f t="shared" si="3"/>
        <v>65.77025537092743</v>
      </c>
      <c r="N91" s="85"/>
      <c r="O91" s="86"/>
      <c r="Q91" s="37"/>
      <c r="R91" s="86"/>
    </row>
    <row r="92" spans="1:18">
      <c r="A92" s="20"/>
      <c r="B92" s="66" t="s">
        <v>84</v>
      </c>
      <c r="C92" s="29">
        <v>56</v>
      </c>
      <c r="D92" s="19">
        <v>7000</v>
      </c>
      <c r="E92" s="31"/>
      <c r="F92" s="27"/>
      <c r="G92" s="20"/>
      <c r="H92" s="31">
        <f>SUM($E$22:E92)*($D$16/100)</f>
        <v>30.002346526297753</v>
      </c>
      <c r="I92" s="31">
        <f>SUM($F$22:G92)*($D$16/100)</f>
        <v>5.2361860599999997E-2</v>
      </c>
      <c r="J92" s="31">
        <f t="shared" si="4"/>
        <v>6.2475948501916942</v>
      </c>
      <c r="K92" s="31">
        <v>12.506727981543927</v>
      </c>
      <c r="L92" s="3">
        <f t="shared" si="3"/>
        <v>48.809031218633372</v>
      </c>
      <c r="N92" s="85"/>
      <c r="O92" s="86"/>
      <c r="Q92" s="37"/>
      <c r="R92" s="86"/>
    </row>
    <row r="93" spans="1:18">
      <c r="A93" s="20"/>
      <c r="B93" s="66" t="s">
        <v>85</v>
      </c>
      <c r="C93" s="29">
        <v>57</v>
      </c>
      <c r="D93" s="19">
        <v>7000</v>
      </c>
      <c r="E93" s="31"/>
      <c r="F93" s="27"/>
      <c r="G93" s="20"/>
      <c r="H93" s="31">
        <f>SUM($E$22:E93)*($D$16/100)</f>
        <v>30.002346526297753</v>
      </c>
      <c r="I93" s="31">
        <f>SUM($F$22:G93)*($D$16/100)</f>
        <v>5.2361860599999997E-2</v>
      </c>
      <c r="J93" s="31">
        <f t="shared" si="4"/>
        <v>6.131103876537483</v>
      </c>
      <c r="K93" s="31">
        <v>12.506727981543927</v>
      </c>
      <c r="L93" s="3">
        <f t="shared" si="3"/>
        <v>48.692540244979163</v>
      </c>
      <c r="N93" s="85"/>
      <c r="O93" s="86"/>
      <c r="Q93" s="37"/>
      <c r="R93" s="86"/>
    </row>
    <row r="94" spans="1:18">
      <c r="A94" s="20"/>
      <c r="B94" s="66" t="s">
        <v>86</v>
      </c>
      <c r="C94" s="29">
        <v>58</v>
      </c>
      <c r="D94" s="19">
        <v>7000</v>
      </c>
      <c r="E94" s="31"/>
      <c r="F94" s="27"/>
      <c r="G94" s="20"/>
      <c r="H94" s="31">
        <f>SUM($E$22:E94)*($D$16/100)</f>
        <v>30.002346526297753</v>
      </c>
      <c r="I94" s="31">
        <f>SUM($F$22:G94)*($D$16/100)</f>
        <v>5.2361860599999997E-2</v>
      </c>
      <c r="J94" s="31">
        <f t="shared" si="4"/>
        <v>6.0167849622546461</v>
      </c>
      <c r="K94" s="31">
        <v>12.506727981543927</v>
      </c>
      <c r="L94" s="3">
        <f t="shared" si="3"/>
        <v>48.578221330696323</v>
      </c>
      <c r="N94" s="85"/>
      <c r="O94" s="86"/>
      <c r="Q94" s="37"/>
      <c r="R94" s="86"/>
    </row>
    <row r="95" spans="1:18">
      <c r="A95" s="20"/>
      <c r="B95" s="66" t="s">
        <v>87</v>
      </c>
      <c r="C95" s="29">
        <v>59</v>
      </c>
      <c r="D95" s="19">
        <v>7000</v>
      </c>
      <c r="E95" s="31"/>
      <c r="F95" s="27"/>
      <c r="G95" s="20"/>
      <c r="H95" s="31">
        <f>SUM($E$22:E95)*($D$16/100)</f>
        <v>30.002346526297753</v>
      </c>
      <c r="I95" s="31">
        <f>SUM($F$22:G95)*($D$16/100)</f>
        <v>5.2361860599999997E-2</v>
      </c>
      <c r="J95" s="31">
        <f t="shared" si="4"/>
        <v>5.9045976077081885</v>
      </c>
      <c r="K95" s="31">
        <v>12.506727981543927</v>
      </c>
      <c r="L95" s="3">
        <f t="shared" si="3"/>
        <v>48.466033976149866</v>
      </c>
      <c r="N95" s="85"/>
      <c r="O95" s="86"/>
      <c r="Q95" s="37"/>
      <c r="R95" s="86"/>
    </row>
    <row r="96" spans="1:18">
      <c r="A96" s="20"/>
      <c r="B96" s="66" t="s">
        <v>88</v>
      </c>
      <c r="C96" s="29">
        <v>60</v>
      </c>
      <c r="D96" s="19">
        <v>7000</v>
      </c>
      <c r="E96" s="31"/>
      <c r="F96" s="27"/>
      <c r="G96" s="20"/>
      <c r="H96" s="31">
        <f>SUM($E$22:E96)*($D$16/100)</f>
        <v>30.002346526297753</v>
      </c>
      <c r="I96" s="31">
        <f>SUM($F$22:G96)*($D$16/100)</f>
        <v>5.2361860599999997E-2</v>
      </c>
      <c r="J96" s="31">
        <f t="shared" si="4"/>
        <v>5.7945020684084296</v>
      </c>
      <c r="K96" s="31">
        <v>15.33740358660954</v>
      </c>
      <c r="L96" s="3">
        <f t="shared" si="3"/>
        <v>51.186614041915725</v>
      </c>
      <c r="N96" s="85"/>
      <c r="O96" s="86"/>
      <c r="Q96" s="37"/>
      <c r="R96" s="86"/>
    </row>
    <row r="97" spans="1:18">
      <c r="A97" s="20"/>
      <c r="B97" s="66" t="s">
        <v>89</v>
      </c>
      <c r="C97" s="29">
        <v>61</v>
      </c>
      <c r="D97" s="19">
        <v>7000</v>
      </c>
      <c r="E97" s="31"/>
      <c r="F97" s="27"/>
      <c r="G97" s="20"/>
      <c r="H97" s="31">
        <f>SUM($E$22:E97)*($D$16/100)</f>
        <v>30.002346526297753</v>
      </c>
      <c r="I97" s="31">
        <f>SUM($F$22:G97)*($D$16/100)</f>
        <v>5.2361860599999997E-2</v>
      </c>
      <c r="J97" s="31">
        <f t="shared" si="4"/>
        <v>5.6864593409307451</v>
      </c>
      <c r="K97" s="31">
        <v>12.506727981543927</v>
      </c>
      <c r="L97" s="3">
        <f t="shared" si="3"/>
        <v>48.247895709372422</v>
      </c>
      <c r="N97" s="85"/>
      <c r="O97" s="86"/>
      <c r="Q97" s="37"/>
      <c r="R97" s="86"/>
    </row>
    <row r="98" spans="1:18">
      <c r="A98" s="20"/>
      <c r="B98" s="66" t="s">
        <v>90</v>
      </c>
      <c r="C98" s="29">
        <v>62</v>
      </c>
      <c r="D98" s="19">
        <v>7000</v>
      </c>
      <c r="E98" s="31"/>
      <c r="F98" s="27"/>
      <c r="G98" s="20"/>
      <c r="H98" s="31">
        <f>SUM($E$22:E98)*($D$16/100)</f>
        <v>30.002346526297753</v>
      </c>
      <c r="I98" s="31">
        <f>SUM($F$22:G98)*($D$16/100)</f>
        <v>5.2361860599999997E-2</v>
      </c>
      <c r="J98" s="31">
        <f t="shared" si="4"/>
        <v>5.5804311490978868</v>
      </c>
      <c r="K98" s="31">
        <v>12.506727981543927</v>
      </c>
      <c r="L98" s="3">
        <f t="shared" si="3"/>
        <v>48.141867517539566</v>
      </c>
      <c r="N98" s="85"/>
      <c r="O98" s="86"/>
      <c r="Q98" s="37"/>
      <c r="R98" s="86"/>
    </row>
    <row r="99" spans="1:18">
      <c r="A99" s="20"/>
      <c r="B99" s="66" t="s">
        <v>91</v>
      </c>
      <c r="C99" s="29">
        <v>63</v>
      </c>
      <c r="D99" s="80">
        <v>7000</v>
      </c>
      <c r="E99" s="31"/>
      <c r="F99" s="27"/>
      <c r="G99" s="20"/>
      <c r="H99" s="31">
        <f>SUM($E$22:E99)*($D$16/100)</f>
        <v>30.002346526297753</v>
      </c>
      <c r="I99" s="31">
        <f>SUM($F$22:G99)*($D$16/100)</f>
        <v>5.2361860599999997E-2</v>
      </c>
      <c r="J99" s="31">
        <f t="shared" si="4"/>
        <v>5.4763799304199088</v>
      </c>
      <c r="K99" s="37">
        <v>12.506727981543927</v>
      </c>
      <c r="L99" s="3">
        <f t="shared" si="3"/>
        <v>48.037816298861586</v>
      </c>
      <c r="N99" s="85"/>
      <c r="O99" s="86"/>
      <c r="Q99" s="37"/>
      <c r="R99" s="86"/>
    </row>
    <row r="100" spans="1:18">
      <c r="A100" s="20"/>
      <c r="B100" s="66" t="s">
        <v>101</v>
      </c>
      <c r="C100" s="29">
        <v>64</v>
      </c>
      <c r="D100" s="80">
        <v>7000</v>
      </c>
      <c r="E100" s="31"/>
      <c r="F100" s="27"/>
      <c r="G100" s="20"/>
      <c r="H100" s="31">
        <f>SUM($E$22:E100)*($D$16/100)</f>
        <v>30.002346526297753</v>
      </c>
      <c r="I100" s="31">
        <f>SUM($F$22:G100)*($D$16/100)</f>
        <v>5.2361860599999997E-2</v>
      </c>
      <c r="J100" s="31">
        <f t="shared" si="4"/>
        <v>5.3742688227869557</v>
      </c>
      <c r="K100" s="37">
        <v>12.506727981543927</v>
      </c>
      <c r="L100" s="3">
        <f t="shared" si="3"/>
        <v>47.935705191228635</v>
      </c>
      <c r="N100" s="85"/>
      <c r="O100" s="86"/>
      <c r="Q100" s="37"/>
      <c r="R100" s="86"/>
    </row>
    <row r="101" spans="1:18">
      <c r="A101" s="20"/>
      <c r="B101" s="66" t="s">
        <v>102</v>
      </c>
      <c r="C101" s="29">
        <v>65</v>
      </c>
      <c r="D101" s="80">
        <v>7000</v>
      </c>
      <c r="E101" s="31"/>
      <c r="F101" s="27"/>
      <c r="G101" s="20"/>
      <c r="H101" s="31">
        <f>SUM($E$22:E101)*($D$16/100)</f>
        <v>30.002346526297753</v>
      </c>
      <c r="I101" s="31">
        <f>SUM($F$22:G101)*($D$16/100)</f>
        <v>5.2361860599999997E-2</v>
      </c>
      <c r="J101" s="31">
        <f t="shared" si="4"/>
        <v>5.2740616514101637</v>
      </c>
      <c r="K101" s="37">
        <v>12.506727981543927</v>
      </c>
      <c r="L101" s="3">
        <f t="shared" si="3"/>
        <v>47.83549801985184</v>
      </c>
      <c r="N101" s="85"/>
      <c r="O101" s="86"/>
      <c r="Q101" s="37"/>
      <c r="R101" s="86"/>
    </row>
    <row r="102" spans="1:18">
      <c r="A102" s="20"/>
      <c r="B102" s="66" t="s">
        <v>103</v>
      </c>
      <c r="C102" s="29">
        <v>66</v>
      </c>
      <c r="D102" s="80">
        <v>7000</v>
      </c>
      <c r="E102" s="31"/>
      <c r="F102" s="27"/>
      <c r="G102" s="20"/>
      <c r="H102" s="31">
        <f>SUM($E$22:E102)*($D$16/100)</f>
        <v>30.002346526297753</v>
      </c>
      <c r="I102" s="31">
        <f>SUM($F$22:G102)*($D$16/100)</f>
        <v>5.2361860599999997E-2</v>
      </c>
      <c r="J102" s="31">
        <f t="shared" si="4"/>
        <v>5.1757229160060492</v>
      </c>
      <c r="K102" s="37">
        <v>12.523909416415851</v>
      </c>
      <c r="L102" s="3">
        <f t="shared" si="3"/>
        <v>47.754340719319657</v>
      </c>
    </row>
    <row r="103" spans="1:18">
      <c r="A103" s="20"/>
      <c r="B103" s="29" t="s">
        <v>104</v>
      </c>
      <c r="C103" s="29">
        <v>67</v>
      </c>
      <c r="D103" s="80">
        <v>4800</v>
      </c>
      <c r="E103" s="31"/>
      <c r="F103" s="27"/>
      <c r="G103" s="20"/>
      <c r="H103" s="31"/>
      <c r="I103" s="31"/>
      <c r="J103" s="31">
        <f t="shared" si="4"/>
        <v>3.48289219077934</v>
      </c>
      <c r="K103" s="37"/>
      <c r="L103" s="3">
        <f t="shared" si="3"/>
        <v>3.48289219077934</v>
      </c>
    </row>
    <row r="104" spans="1:18">
      <c r="A104" s="20"/>
      <c r="B104" s="30" t="s">
        <v>120</v>
      </c>
      <c r="C104" s="30">
        <v>68</v>
      </c>
      <c r="D104" s="81">
        <v>400</v>
      </c>
      <c r="E104" s="6"/>
      <c r="F104" s="28"/>
      <c r="G104" s="7"/>
      <c r="H104" s="6"/>
      <c r="I104" s="6"/>
      <c r="J104" s="6">
        <f t="shared" si="4"/>
        <v>0.28482925995905628</v>
      </c>
      <c r="K104" s="52"/>
      <c r="L104" s="3">
        <f t="shared" si="3"/>
        <v>0.28482925995905628</v>
      </c>
    </row>
    <row r="105" spans="1:18">
      <c r="D105" s="26"/>
      <c r="E105" s="26"/>
      <c r="I105" s="26"/>
      <c r="J105" s="26"/>
      <c r="K105" s="26"/>
      <c r="L105" s="53"/>
    </row>
    <row r="106" spans="1:18">
      <c r="C106" s="55" t="s">
        <v>15</v>
      </c>
      <c r="D106" s="73">
        <f>NPV($D$7/100, D24:D104)+D22+D23</f>
        <v>71287.539037725714</v>
      </c>
      <c r="E106" s="73">
        <f t="shared" ref="E106:L106" si="5">NPV($D$7/100, E24:E104)+E22+E23</f>
        <v>3938.9990738679667</v>
      </c>
      <c r="F106" s="73">
        <f t="shared" si="5"/>
        <v>0</v>
      </c>
      <c r="G106" s="73">
        <f t="shared" si="5"/>
        <v>5.9072214447690143</v>
      </c>
      <c r="H106" s="73">
        <f t="shared" si="5"/>
        <v>397.57287346033644</v>
      </c>
      <c r="I106" s="73">
        <f t="shared" si="5"/>
        <v>0.59325343716732915</v>
      </c>
      <c r="J106" s="73">
        <f t="shared" si="5"/>
        <v>135.12360681006274</v>
      </c>
      <c r="K106" s="73">
        <f t="shared" si="5"/>
        <v>151.07218992981279</v>
      </c>
      <c r="L106" s="73">
        <f t="shared" si="5"/>
        <v>4629.2682189501193</v>
      </c>
      <c r="M106" s="13"/>
    </row>
    <row r="107" spans="1:18">
      <c r="C107" s="55" t="s">
        <v>114</v>
      </c>
      <c r="D107" s="54"/>
      <c r="E107" s="9">
        <f t="shared" ref="E107:L107" si="6">E106/($D$106/1000)</f>
        <v>55.255085629810132</v>
      </c>
      <c r="F107" s="9">
        <f t="shared" si="6"/>
        <v>0</v>
      </c>
      <c r="G107" s="9">
        <f t="shared" si="6"/>
        <v>8.2864712746541641E-2</v>
      </c>
      <c r="H107" s="9">
        <f t="shared" si="6"/>
        <v>5.5770318182808776</v>
      </c>
      <c r="I107" s="9">
        <f t="shared" si="6"/>
        <v>8.3219794816226794E-3</v>
      </c>
      <c r="J107" s="9">
        <f t="shared" si="6"/>
        <v>1.8954730186232782</v>
      </c>
      <c r="K107" s="9">
        <f t="shared" si="6"/>
        <v>2.1191949107664478</v>
      </c>
      <c r="L107" s="9">
        <f t="shared" si="6"/>
        <v>64.937972069708962</v>
      </c>
      <c r="M107" s="13"/>
    </row>
    <row r="108" spans="1:18">
      <c r="C108" s="56" t="s">
        <v>113</v>
      </c>
      <c r="D108" s="54"/>
      <c r="E108" s="50">
        <f t="shared" ref="E108:L108" si="7">(E106*(1+$D$15/100))/($D$106/1000)</f>
        <v>60.780594192791149</v>
      </c>
      <c r="F108" s="50">
        <f t="shared" si="7"/>
        <v>0</v>
      </c>
      <c r="G108" s="50">
        <f t="shared" si="7"/>
        <v>9.1151184021195819E-2</v>
      </c>
      <c r="H108" s="50">
        <f t="shared" si="7"/>
        <v>6.1347350001089662</v>
      </c>
      <c r="I108" s="50">
        <f t="shared" si="7"/>
        <v>9.1541774297849484E-3</v>
      </c>
      <c r="J108" s="50">
        <f t="shared" si="7"/>
        <v>2.0850203204856066</v>
      </c>
      <c r="K108" s="50">
        <f t="shared" si="7"/>
        <v>2.3311144018430929</v>
      </c>
      <c r="L108" s="57">
        <f t="shared" si="7"/>
        <v>71.431769276679859</v>
      </c>
    </row>
    <row r="111" spans="1:18">
      <c r="C111" s="25"/>
      <c r="D111" s="91"/>
      <c r="E111" s="91"/>
      <c r="F111" s="91"/>
      <c r="G111" s="59"/>
      <c r="H111" s="59"/>
      <c r="I111" s="59"/>
      <c r="J111" s="40"/>
      <c r="K111" s="26"/>
    </row>
    <row r="112" spans="1:18">
      <c r="C112" s="25"/>
      <c r="D112" s="91"/>
      <c r="E112" s="91"/>
      <c r="F112" s="91"/>
      <c r="G112" s="40"/>
      <c r="H112" s="40"/>
      <c r="I112" s="40"/>
      <c r="J112" s="60"/>
      <c r="K112" s="26"/>
    </row>
    <row r="113" spans="4:11">
      <c r="D113" s="15"/>
      <c r="E113" s="16"/>
      <c r="F113" s="16"/>
      <c r="G113" s="16"/>
      <c r="H113" s="16"/>
      <c r="I113" s="16"/>
      <c r="J113" s="40"/>
      <c r="K113" s="38"/>
    </row>
    <row r="114" spans="4:11">
      <c r="D114" s="15"/>
      <c r="E114" s="16"/>
      <c r="F114" s="16"/>
      <c r="G114" s="40"/>
      <c r="H114" s="40"/>
      <c r="I114" s="38"/>
      <c r="J114" s="38"/>
      <c r="K114" s="38"/>
    </row>
    <row r="115" spans="4:11">
      <c r="D115" s="15"/>
      <c r="E115" s="40"/>
      <c r="F115" s="40"/>
      <c r="G115" s="40"/>
      <c r="H115" s="40"/>
      <c r="I115" s="38"/>
      <c r="J115" s="38"/>
      <c r="K115" s="38"/>
    </row>
    <row r="116" spans="4:11">
      <c r="D116" s="15"/>
      <c r="E116" s="40"/>
      <c r="F116" s="40"/>
      <c r="G116" s="40"/>
      <c r="H116" s="40"/>
      <c r="I116" s="38"/>
      <c r="J116" s="38"/>
      <c r="K116" s="38"/>
    </row>
    <row r="117" spans="4:11">
      <c r="D117" s="15"/>
      <c r="E117" s="40"/>
      <c r="F117" s="40"/>
      <c r="G117" s="40"/>
      <c r="H117" s="40"/>
      <c r="I117" s="38"/>
      <c r="J117" s="38"/>
      <c r="K117" s="38"/>
    </row>
    <row r="118" spans="4:11">
      <c r="E118" s="38"/>
      <c r="F118" s="38"/>
      <c r="G118" s="38"/>
      <c r="H118" s="38"/>
      <c r="I118" s="38"/>
      <c r="J118" s="38"/>
      <c r="K118" s="38"/>
    </row>
  </sheetData>
  <mergeCells count="3">
    <mergeCell ref="E20:L20"/>
    <mergeCell ref="D111:F111"/>
    <mergeCell ref="D112:F112"/>
  </mergeCells>
  <printOptions horizontalCentered="1"/>
  <pageMargins left="0.7" right="0.7" top="0.75" bottom="0.75" header="0.3" footer="0.3"/>
  <pageSetup paperSize="5" scale="61" orientation="portrait" r:id="rId1"/>
  <ignoredErrors>
    <ignoredError sqref="H23:H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1 - March 2014 Estimates</vt:lpstr>
      <vt:lpstr>2 - March 2014 Estimates</vt:lpstr>
      <vt:lpstr>'1 - March 2014 Estimates'!Print_Area</vt:lpstr>
      <vt:lpstr>'2 - March 2014 Estimates'!Print_Area</vt:lpstr>
    </vt:vector>
  </TitlesOfParts>
  <Company>Manitoba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 Exhibit 114</dc:title>
  <dc:subject>Needs For and Alternatives To (NFAT)</dc:subject>
  <dc:creator>Manitoba Hydro</dc:creator>
  <dc:description>MH Undertaking 41</dc:description>
  <cp:lastModifiedBy>DVillegas</cp:lastModifiedBy>
  <cp:lastPrinted>2014-03-05T22:29:18Z</cp:lastPrinted>
  <dcterms:created xsi:type="dcterms:W3CDTF">2013-10-31T19:52:45Z</dcterms:created>
  <dcterms:modified xsi:type="dcterms:W3CDTF">2014-03-19T21:46:54Z</dcterms:modified>
</cp:coreProperties>
</file>