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4400" windowHeight="92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262" i="1" l="1"/>
  <c r="M262" i="1" s="1"/>
  <c r="K262" i="1"/>
  <c r="O262" i="1" s="1"/>
  <c r="L261" i="1"/>
  <c r="M261" i="1" s="1"/>
  <c r="K261" i="1"/>
  <c r="N261" i="1" s="1"/>
  <c r="L260" i="1"/>
  <c r="M260" i="1" s="1"/>
  <c r="K260" i="1"/>
  <c r="O260" i="1" s="1"/>
  <c r="L259" i="1"/>
  <c r="M259" i="1" s="1"/>
  <c r="K259" i="1"/>
  <c r="N259" i="1" s="1"/>
  <c r="K258" i="1"/>
  <c r="M249" i="1"/>
  <c r="L249" i="1"/>
  <c r="K249" i="1"/>
  <c r="N249" i="1" s="1"/>
  <c r="N248" i="1"/>
  <c r="L248" i="1"/>
  <c r="M248" i="1" s="1"/>
  <c r="K248" i="1"/>
  <c r="O248" i="1" s="1"/>
  <c r="M247" i="1"/>
  <c r="L247" i="1"/>
  <c r="K247" i="1"/>
  <c r="N247" i="1" s="1"/>
  <c r="N246" i="1"/>
  <c r="L246" i="1"/>
  <c r="M246" i="1" s="1"/>
  <c r="K246" i="1"/>
  <c r="O246" i="1" s="1"/>
  <c r="K245" i="1"/>
  <c r="N236" i="1"/>
  <c r="L236" i="1"/>
  <c r="M236" i="1" s="1"/>
  <c r="K236" i="1"/>
  <c r="O236" i="1" s="1"/>
  <c r="M235" i="1"/>
  <c r="L235" i="1"/>
  <c r="K235" i="1"/>
  <c r="N235" i="1" s="1"/>
  <c r="N234" i="1"/>
  <c r="L234" i="1"/>
  <c r="M234" i="1" s="1"/>
  <c r="K234" i="1"/>
  <c r="O234" i="1" s="1"/>
  <c r="M233" i="1"/>
  <c r="L233" i="1"/>
  <c r="K233" i="1"/>
  <c r="N233" i="1" s="1"/>
  <c r="K232" i="1"/>
  <c r="M219" i="1"/>
  <c r="L219" i="1"/>
  <c r="K219" i="1"/>
  <c r="N219" i="1" s="1"/>
  <c r="N218" i="1"/>
  <c r="L218" i="1"/>
  <c r="M218" i="1" s="1"/>
  <c r="K218" i="1"/>
  <c r="O218" i="1" s="1"/>
  <c r="M217" i="1"/>
  <c r="L217" i="1"/>
  <c r="K217" i="1"/>
  <c r="N217" i="1" s="1"/>
  <c r="N216" i="1"/>
  <c r="L216" i="1"/>
  <c r="M216" i="1" s="1"/>
  <c r="K216" i="1"/>
  <c r="O216" i="1" s="1"/>
  <c r="K215" i="1"/>
  <c r="K205" i="1"/>
  <c r="O205" i="1" s="1"/>
  <c r="K204" i="1"/>
  <c r="K203" i="1"/>
  <c r="O203" i="1" s="1"/>
  <c r="K202" i="1"/>
  <c r="K201" i="1"/>
  <c r="N205" i="1"/>
  <c r="O204" i="1"/>
  <c r="N204" i="1"/>
  <c r="N203" i="1"/>
  <c r="O202" i="1"/>
  <c r="N202" i="1"/>
  <c r="O190" i="1"/>
  <c r="N190" i="1"/>
  <c r="O189" i="1"/>
  <c r="N189" i="1"/>
  <c r="O188" i="1"/>
  <c r="N188" i="1"/>
  <c r="O187" i="1"/>
  <c r="N187" i="1"/>
  <c r="O177" i="1"/>
  <c r="N177" i="1"/>
  <c r="O176" i="1"/>
  <c r="N176" i="1"/>
  <c r="O175" i="1"/>
  <c r="N175" i="1"/>
  <c r="O174" i="1"/>
  <c r="N174" i="1"/>
  <c r="O164" i="1"/>
  <c r="N164" i="1"/>
  <c r="O163" i="1"/>
  <c r="N163" i="1"/>
  <c r="O162" i="1"/>
  <c r="N162" i="1"/>
  <c r="O161" i="1"/>
  <c r="N161" i="1"/>
  <c r="O149" i="1"/>
  <c r="N149" i="1"/>
  <c r="O148" i="1"/>
  <c r="N148" i="1"/>
  <c r="O147" i="1"/>
  <c r="N147" i="1"/>
  <c r="O146" i="1"/>
  <c r="N146" i="1"/>
  <c r="O135" i="1"/>
  <c r="N135" i="1"/>
  <c r="O134" i="1"/>
  <c r="N134" i="1"/>
  <c r="O133" i="1"/>
  <c r="N133" i="1"/>
  <c r="O132" i="1"/>
  <c r="N132" i="1"/>
  <c r="O120" i="1"/>
  <c r="N120" i="1"/>
  <c r="O119" i="1"/>
  <c r="N119" i="1"/>
  <c r="O118" i="1"/>
  <c r="N118" i="1"/>
  <c r="O117" i="1"/>
  <c r="N117" i="1"/>
  <c r="O107" i="1"/>
  <c r="N107" i="1"/>
  <c r="O106" i="1"/>
  <c r="N106" i="1"/>
  <c r="O105" i="1"/>
  <c r="N105" i="1"/>
  <c r="O104" i="1"/>
  <c r="N104" i="1"/>
  <c r="O94" i="1"/>
  <c r="N94" i="1"/>
  <c r="O93" i="1"/>
  <c r="N93" i="1"/>
  <c r="O92" i="1"/>
  <c r="N92" i="1"/>
  <c r="O91" i="1"/>
  <c r="N91" i="1"/>
  <c r="O79" i="1"/>
  <c r="N79" i="1"/>
  <c r="O78" i="1"/>
  <c r="N78" i="1"/>
  <c r="O77" i="1"/>
  <c r="N77" i="1"/>
  <c r="O76" i="1"/>
  <c r="N76" i="1"/>
  <c r="O66" i="1"/>
  <c r="N66" i="1"/>
  <c r="O65" i="1"/>
  <c r="N65" i="1"/>
  <c r="O64" i="1"/>
  <c r="N64" i="1"/>
  <c r="O63" i="1"/>
  <c r="N63" i="1"/>
  <c r="O53" i="1"/>
  <c r="N53" i="1"/>
  <c r="O52" i="1"/>
  <c r="N52" i="1"/>
  <c r="O51" i="1"/>
  <c r="N51" i="1"/>
  <c r="O50" i="1"/>
  <c r="N50" i="1"/>
  <c r="K190" i="1"/>
  <c r="K189" i="1"/>
  <c r="K188" i="1"/>
  <c r="K187" i="1"/>
  <c r="K186" i="1"/>
  <c r="K177" i="1"/>
  <c r="K176" i="1"/>
  <c r="K175" i="1"/>
  <c r="K174" i="1"/>
  <c r="K173" i="1"/>
  <c r="K164" i="1"/>
  <c r="K163" i="1"/>
  <c r="K162" i="1"/>
  <c r="K161" i="1"/>
  <c r="K160" i="1"/>
  <c r="K149" i="1"/>
  <c r="K148" i="1"/>
  <c r="K147" i="1"/>
  <c r="K146" i="1"/>
  <c r="K145" i="1"/>
  <c r="K135" i="1"/>
  <c r="K134" i="1"/>
  <c r="K133" i="1"/>
  <c r="K132" i="1"/>
  <c r="K131" i="1"/>
  <c r="K120" i="1"/>
  <c r="K119" i="1"/>
  <c r="K118" i="1"/>
  <c r="K117" i="1"/>
  <c r="K116" i="1"/>
  <c r="K107" i="1"/>
  <c r="K106" i="1"/>
  <c r="K105" i="1"/>
  <c r="K104" i="1"/>
  <c r="K103" i="1"/>
  <c r="K94" i="1"/>
  <c r="K93" i="1"/>
  <c r="K92" i="1"/>
  <c r="K91" i="1"/>
  <c r="K90" i="1"/>
  <c r="K79" i="1"/>
  <c r="K78" i="1"/>
  <c r="K77" i="1"/>
  <c r="K76" i="1"/>
  <c r="K75" i="1"/>
  <c r="K66" i="1"/>
  <c r="K65" i="1"/>
  <c r="K64" i="1"/>
  <c r="K63" i="1"/>
  <c r="K62" i="1"/>
  <c r="K53" i="1"/>
  <c r="K52" i="1"/>
  <c r="K51" i="1"/>
  <c r="K50" i="1"/>
  <c r="A120" i="1"/>
  <c r="A119" i="1"/>
  <c r="A118" i="1"/>
  <c r="A117" i="1"/>
  <c r="A107" i="1"/>
  <c r="A106" i="1"/>
  <c r="A105" i="1"/>
  <c r="A104" i="1"/>
  <c r="A94" i="1"/>
  <c r="A93" i="1"/>
  <c r="A92" i="1"/>
  <c r="A91" i="1"/>
  <c r="A53" i="1"/>
  <c r="A52" i="1"/>
  <c r="A51" i="1"/>
  <c r="A50" i="1"/>
  <c r="K49" i="1"/>
  <c r="O259" i="1" l="1"/>
  <c r="N260" i="1"/>
  <c r="O261" i="1"/>
  <c r="N262" i="1"/>
  <c r="O247" i="1"/>
  <c r="O249" i="1"/>
  <c r="O233" i="1"/>
  <c r="O235" i="1"/>
  <c r="O217" i="1"/>
  <c r="O219" i="1"/>
  <c r="J217" i="1" l="1"/>
  <c r="J218" i="1"/>
  <c r="J219" i="1"/>
  <c r="J216" i="1"/>
  <c r="D217" i="1"/>
  <c r="D218" i="1"/>
  <c r="D219" i="1"/>
  <c r="D216" i="1"/>
  <c r="C217" i="1"/>
  <c r="C218" i="1"/>
  <c r="C219" i="1"/>
  <c r="C216" i="1"/>
  <c r="J203" i="1"/>
  <c r="J204" i="1"/>
  <c r="J205" i="1"/>
  <c r="J202" i="1"/>
  <c r="D203" i="1"/>
  <c r="D204" i="1"/>
  <c r="D205" i="1"/>
  <c r="D202" i="1"/>
  <c r="C203" i="1"/>
  <c r="C204" i="1"/>
  <c r="C205" i="1"/>
  <c r="C202" i="1"/>
  <c r="J118" i="1"/>
  <c r="J119" i="1"/>
  <c r="J120" i="1"/>
  <c r="J117" i="1"/>
  <c r="D118" i="1"/>
  <c r="D119" i="1"/>
  <c r="D120" i="1"/>
  <c r="D117" i="1"/>
  <c r="C118" i="1"/>
  <c r="C119" i="1"/>
  <c r="C120" i="1"/>
  <c r="C117" i="1"/>
  <c r="J105" i="1"/>
  <c r="J106" i="1"/>
  <c r="J107" i="1"/>
  <c r="J104" i="1"/>
  <c r="D105" i="1"/>
  <c r="D106" i="1"/>
  <c r="D107" i="1"/>
  <c r="D104" i="1"/>
  <c r="C105" i="1"/>
  <c r="C106" i="1"/>
  <c r="C107" i="1"/>
  <c r="C104" i="1"/>
  <c r="J92" i="1"/>
  <c r="J93" i="1"/>
  <c r="J94" i="1"/>
  <c r="J91" i="1"/>
  <c r="D92" i="1"/>
  <c r="D93" i="1"/>
  <c r="D94" i="1"/>
  <c r="D91" i="1"/>
  <c r="C92" i="1"/>
  <c r="C93" i="1"/>
  <c r="C94" i="1"/>
  <c r="C91" i="1"/>
  <c r="J77" i="1"/>
  <c r="J78" i="1"/>
  <c r="J79" i="1"/>
  <c r="J76" i="1"/>
  <c r="D77" i="1"/>
  <c r="D78" i="1"/>
  <c r="D79" i="1"/>
  <c r="D76" i="1"/>
  <c r="C77" i="1"/>
  <c r="C78" i="1"/>
  <c r="C79" i="1"/>
  <c r="C76" i="1"/>
  <c r="J64" i="1"/>
  <c r="J65" i="1"/>
  <c r="J66" i="1"/>
  <c r="J63" i="1"/>
  <c r="D64" i="1"/>
  <c r="D65" i="1"/>
  <c r="D66" i="1"/>
  <c r="D63" i="1"/>
  <c r="C64" i="1"/>
  <c r="C65" i="1"/>
  <c r="C66" i="1"/>
  <c r="C63" i="1"/>
  <c r="J51" i="1"/>
  <c r="J52" i="1"/>
  <c r="J53" i="1"/>
  <c r="J50" i="1"/>
  <c r="D51" i="1"/>
  <c r="D52" i="1"/>
  <c r="D53" i="1"/>
  <c r="D50" i="1"/>
  <c r="C51" i="1"/>
  <c r="C52" i="1"/>
  <c r="C53" i="1"/>
  <c r="C50" i="1"/>
  <c r="D24" i="1"/>
  <c r="D25" i="1"/>
  <c r="D26" i="1"/>
  <c r="D27" i="1"/>
  <c r="D23" i="1"/>
  <c r="C24" i="1"/>
  <c r="C25" i="1"/>
  <c r="C26" i="1"/>
  <c r="C27" i="1"/>
  <c r="C23" i="1"/>
  <c r="I53" i="1" l="1"/>
  <c r="I52" i="1"/>
  <c r="I51" i="1"/>
  <c r="I50" i="1"/>
  <c r="D40" i="1"/>
  <c r="D39" i="1"/>
  <c r="D38" i="1"/>
  <c r="D37" i="1"/>
  <c r="D36" i="1"/>
  <c r="D14" i="1"/>
  <c r="D13" i="1"/>
  <c r="D12" i="1"/>
  <c r="D11" i="1"/>
  <c r="D10" i="1"/>
  <c r="J257" i="1" l="1"/>
  <c r="J244" i="1"/>
  <c r="J231" i="1"/>
  <c r="J214" i="1"/>
  <c r="J200" i="1"/>
  <c r="J185" i="1"/>
  <c r="J172" i="1"/>
  <c r="J159" i="1"/>
  <c r="J144" i="1"/>
  <c r="J130" i="1"/>
  <c r="J115" i="1"/>
  <c r="J102" i="1"/>
  <c r="J89" i="1"/>
  <c r="J74" i="1"/>
  <c r="J61" i="1"/>
  <c r="J48" i="1"/>
  <c r="J34" i="1"/>
  <c r="J21" i="1"/>
  <c r="D257" i="1"/>
  <c r="C257" i="1"/>
  <c r="D244" i="1"/>
  <c r="C244" i="1"/>
  <c r="D231" i="1"/>
  <c r="C231" i="1"/>
  <c r="D214" i="1"/>
  <c r="C214" i="1"/>
  <c r="D200" i="1"/>
  <c r="C200" i="1"/>
  <c r="D185" i="1"/>
  <c r="C185" i="1"/>
  <c r="D172" i="1"/>
  <c r="C172" i="1"/>
  <c r="D159" i="1"/>
  <c r="C159" i="1"/>
  <c r="D144" i="1"/>
  <c r="C144" i="1"/>
  <c r="D130" i="1"/>
  <c r="C130" i="1"/>
  <c r="D115" i="1"/>
  <c r="C115" i="1"/>
  <c r="D102" i="1"/>
  <c r="C102" i="1"/>
  <c r="D89" i="1"/>
  <c r="C89" i="1"/>
  <c r="D74" i="1"/>
  <c r="C74" i="1"/>
  <c r="D61" i="1"/>
  <c r="C61" i="1"/>
  <c r="D48" i="1"/>
  <c r="C48" i="1"/>
  <c r="D34" i="1"/>
  <c r="C34" i="1"/>
  <c r="D21" i="1"/>
  <c r="C21" i="1"/>
  <c r="I8" i="1"/>
  <c r="I257" i="1" s="1"/>
  <c r="B249" i="1"/>
  <c r="B262" i="1" s="1"/>
  <c r="B248" i="1"/>
  <c r="H248" i="1" s="1"/>
  <c r="B247" i="1"/>
  <c r="B260" i="1" s="1"/>
  <c r="B246" i="1"/>
  <c r="A246" i="1" s="1"/>
  <c r="H236" i="1"/>
  <c r="A236" i="1"/>
  <c r="H235" i="1"/>
  <c r="A235" i="1"/>
  <c r="H234" i="1"/>
  <c r="A234" i="1"/>
  <c r="H233" i="1"/>
  <c r="A233" i="1"/>
  <c r="B219" i="1"/>
  <c r="H219" i="1" s="1"/>
  <c r="B218" i="1"/>
  <c r="H218" i="1" s="1"/>
  <c r="B217" i="1"/>
  <c r="H217" i="1" s="1"/>
  <c r="B216" i="1"/>
  <c r="H216" i="1" s="1"/>
  <c r="H209" i="1"/>
  <c r="H205" i="1"/>
  <c r="A205" i="1"/>
  <c r="H204" i="1"/>
  <c r="A204" i="1"/>
  <c r="H203" i="1"/>
  <c r="A203" i="1"/>
  <c r="H202" i="1"/>
  <c r="A202" i="1"/>
  <c r="H195" i="1"/>
  <c r="A190" i="1"/>
  <c r="A189" i="1"/>
  <c r="A188" i="1"/>
  <c r="A187" i="1"/>
  <c r="A177" i="1"/>
  <c r="A176" i="1"/>
  <c r="A175" i="1"/>
  <c r="A174" i="1"/>
  <c r="A164" i="1"/>
  <c r="A163" i="1"/>
  <c r="A162" i="1"/>
  <c r="A161" i="1"/>
  <c r="A149" i="1"/>
  <c r="A148" i="1"/>
  <c r="A147" i="1"/>
  <c r="A146" i="1"/>
  <c r="H139" i="1"/>
  <c r="A135" i="1"/>
  <c r="A134" i="1"/>
  <c r="A133" i="1"/>
  <c r="A132" i="1"/>
  <c r="H125" i="1"/>
  <c r="H120" i="1"/>
  <c r="I120" i="1"/>
  <c r="H119" i="1"/>
  <c r="I119" i="1"/>
  <c r="H118" i="1"/>
  <c r="H117" i="1"/>
  <c r="I117" i="1"/>
  <c r="H111" i="1"/>
  <c r="H107" i="1"/>
  <c r="H106" i="1"/>
  <c r="I106" i="1"/>
  <c r="H105" i="1"/>
  <c r="I105" i="1"/>
  <c r="H104" i="1"/>
  <c r="I104" i="1"/>
  <c r="H94" i="1"/>
  <c r="H93" i="1"/>
  <c r="H92" i="1"/>
  <c r="H91" i="1"/>
  <c r="A79" i="1"/>
  <c r="A78" i="1"/>
  <c r="A77" i="1"/>
  <c r="A76" i="1"/>
  <c r="H69" i="1"/>
  <c r="A66" i="1"/>
  <c r="A65" i="1"/>
  <c r="A64" i="1"/>
  <c r="A63" i="1"/>
  <c r="H56" i="1"/>
  <c r="H53" i="1"/>
  <c r="H52" i="1"/>
  <c r="H51" i="1"/>
  <c r="H50" i="1"/>
  <c r="H44" i="1"/>
  <c r="H40" i="1"/>
  <c r="J40" i="1" s="1"/>
  <c r="C40" i="1"/>
  <c r="H39" i="1"/>
  <c r="J39" i="1" s="1"/>
  <c r="I39" i="1"/>
  <c r="C39" i="1"/>
  <c r="H38" i="1"/>
  <c r="J38" i="1" s="1"/>
  <c r="I38" i="1"/>
  <c r="C38" i="1"/>
  <c r="H37" i="1"/>
  <c r="J37" i="1" s="1"/>
  <c r="I37" i="1"/>
  <c r="C37" i="1"/>
  <c r="H36" i="1"/>
  <c r="J36" i="1" s="1"/>
  <c r="C36" i="1"/>
  <c r="H27" i="1"/>
  <c r="J27" i="1" s="1"/>
  <c r="I27" i="1"/>
  <c r="H26" i="1"/>
  <c r="J26" i="1" s="1"/>
  <c r="I26" i="1"/>
  <c r="H25" i="1"/>
  <c r="J25" i="1" s="1"/>
  <c r="I25" i="1"/>
  <c r="H24" i="1"/>
  <c r="J24" i="1" s="1"/>
  <c r="H23" i="1"/>
  <c r="J23" i="1" s="1"/>
  <c r="I23" i="1"/>
  <c r="H14" i="1"/>
  <c r="J14" i="1" s="1"/>
  <c r="C14" i="1"/>
  <c r="H13" i="1"/>
  <c r="J13" i="1" s="1"/>
  <c r="I13" i="1"/>
  <c r="C13" i="1"/>
  <c r="H12" i="1"/>
  <c r="J12" i="1" s="1"/>
  <c r="C12" i="1"/>
  <c r="H11" i="1"/>
  <c r="J11" i="1" s="1"/>
  <c r="I11" i="1"/>
  <c r="C11" i="1"/>
  <c r="H10" i="1"/>
  <c r="J10" i="1" s="1"/>
  <c r="I10" i="1"/>
  <c r="C10" i="1"/>
  <c r="J146" i="1" l="1"/>
  <c r="D146" i="1"/>
  <c r="C187" i="1"/>
  <c r="J187" i="1"/>
  <c r="D187" i="1"/>
  <c r="C236" i="1"/>
  <c r="J236" i="1"/>
  <c r="D236" i="1"/>
  <c r="J132" i="1"/>
  <c r="D132" i="1"/>
  <c r="J149" i="1"/>
  <c r="D149" i="1"/>
  <c r="J164" i="1"/>
  <c r="D164" i="1"/>
  <c r="J177" i="1"/>
  <c r="D177" i="1"/>
  <c r="J190" i="1"/>
  <c r="D190" i="1"/>
  <c r="I205" i="1"/>
  <c r="I21" i="1"/>
  <c r="I48" i="1"/>
  <c r="I74" i="1"/>
  <c r="I102" i="1"/>
  <c r="I130" i="1"/>
  <c r="I159" i="1"/>
  <c r="I185" i="1"/>
  <c r="I214" i="1"/>
  <c r="I244" i="1"/>
  <c r="J133" i="1"/>
  <c r="D133" i="1"/>
  <c r="E78" i="1"/>
  <c r="J134" i="1"/>
  <c r="D134" i="1"/>
  <c r="C147" i="1"/>
  <c r="J147" i="1"/>
  <c r="D147" i="1"/>
  <c r="C162" i="1"/>
  <c r="J162" i="1"/>
  <c r="D162" i="1"/>
  <c r="I162" i="1" s="1"/>
  <c r="C175" i="1"/>
  <c r="J175" i="1"/>
  <c r="D175" i="1"/>
  <c r="C188" i="1"/>
  <c r="E188" i="1" s="1"/>
  <c r="J188" i="1"/>
  <c r="D188" i="1"/>
  <c r="I202" i="1"/>
  <c r="I34" i="1"/>
  <c r="I61" i="1"/>
  <c r="I89" i="1"/>
  <c r="I115" i="1"/>
  <c r="I144" i="1"/>
  <c r="I172" i="1"/>
  <c r="I200" i="1"/>
  <c r="I231" i="1"/>
  <c r="J161" i="1"/>
  <c r="D161" i="1"/>
  <c r="J174" i="1"/>
  <c r="D174" i="1"/>
  <c r="J234" i="1"/>
  <c r="D234" i="1"/>
  <c r="C135" i="1"/>
  <c r="J135" i="1"/>
  <c r="D135" i="1"/>
  <c r="E135" i="1" s="1"/>
  <c r="J148" i="1"/>
  <c r="D148" i="1"/>
  <c r="J163" i="1"/>
  <c r="D163" i="1"/>
  <c r="E163" i="1" s="1"/>
  <c r="J176" i="1"/>
  <c r="D176" i="1"/>
  <c r="J189" i="1"/>
  <c r="D189" i="1"/>
  <c r="J233" i="1"/>
  <c r="D233" i="1"/>
  <c r="C235" i="1"/>
  <c r="J235" i="1"/>
  <c r="D235" i="1"/>
  <c r="J246" i="1"/>
  <c r="D246" i="1"/>
  <c r="L13" i="1"/>
  <c r="M13" i="1" s="1"/>
  <c r="L23" i="1"/>
  <c r="M23" i="1" s="1"/>
  <c r="C148" i="1"/>
  <c r="E23" i="1"/>
  <c r="F23" i="1" s="1"/>
  <c r="E27" i="1"/>
  <c r="F27" i="1" s="1"/>
  <c r="E107" i="1"/>
  <c r="F107" i="1" s="1"/>
  <c r="L117" i="1"/>
  <c r="M117" i="1" s="1"/>
  <c r="C133" i="1"/>
  <c r="C177" i="1"/>
  <c r="E177" i="1" s="1"/>
  <c r="A216" i="1"/>
  <c r="A249" i="1"/>
  <c r="E52" i="1"/>
  <c r="F52" i="1" s="1"/>
  <c r="E64" i="1"/>
  <c r="E92" i="1"/>
  <c r="F92" i="1" s="1"/>
  <c r="E120" i="1"/>
  <c r="F120" i="1" s="1"/>
  <c r="L26" i="1"/>
  <c r="M26" i="1" s="1"/>
  <c r="I93" i="1"/>
  <c r="L93" i="1" s="1"/>
  <c r="E12" i="1"/>
  <c r="F12" i="1" s="1"/>
  <c r="E13" i="1"/>
  <c r="F13" i="1" s="1"/>
  <c r="E91" i="1"/>
  <c r="F91" i="1" s="1"/>
  <c r="I94" i="1"/>
  <c r="L94" i="1" s="1"/>
  <c r="E119" i="1"/>
  <c r="F119" i="1" s="1"/>
  <c r="C163" i="1"/>
  <c r="H247" i="1"/>
  <c r="L10" i="1"/>
  <c r="M10" i="1" s="1"/>
  <c r="L27" i="1"/>
  <c r="M27" i="1" s="1"/>
  <c r="L37" i="1"/>
  <c r="M37" i="1" s="1"/>
  <c r="E105" i="1"/>
  <c r="F105" i="1" s="1"/>
  <c r="L119" i="1"/>
  <c r="M119" i="1" s="1"/>
  <c r="C164" i="1"/>
  <c r="C176" i="1"/>
  <c r="A218" i="1"/>
  <c r="I63" i="1"/>
  <c r="I65" i="1"/>
  <c r="L11" i="1"/>
  <c r="M11" i="1" s="1"/>
  <c r="E14" i="1"/>
  <c r="F14" i="1" s="1"/>
  <c r="E24" i="1"/>
  <c r="F24" i="1" s="1"/>
  <c r="E26" i="1"/>
  <c r="F26" i="1" s="1"/>
  <c r="E37" i="1"/>
  <c r="F37" i="1" s="1"/>
  <c r="E40" i="1"/>
  <c r="F40" i="1" s="1"/>
  <c r="L50" i="1"/>
  <c r="M50" i="1" s="1"/>
  <c r="E51" i="1"/>
  <c r="F51" i="1" s="1"/>
  <c r="E53" i="1"/>
  <c r="F53" i="1" s="1"/>
  <c r="I91" i="1"/>
  <c r="L91" i="1" s="1"/>
  <c r="E104" i="1"/>
  <c r="F104" i="1" s="1"/>
  <c r="I107" i="1"/>
  <c r="L107" i="1" s="1"/>
  <c r="M107" i="1" s="1"/>
  <c r="L120" i="1"/>
  <c r="M120" i="1" s="1"/>
  <c r="C132" i="1"/>
  <c r="C189" i="1"/>
  <c r="E202" i="1"/>
  <c r="H246" i="1"/>
  <c r="L38" i="1"/>
  <c r="M38" i="1" s="1"/>
  <c r="L39" i="1"/>
  <c r="M39" i="1" s="1"/>
  <c r="I79" i="1"/>
  <c r="L79" i="1" s="1"/>
  <c r="L104" i="1"/>
  <c r="M104" i="1" s="1"/>
  <c r="I132" i="1"/>
  <c r="L132" i="1" s="1"/>
  <c r="C149" i="1"/>
  <c r="E189" i="1"/>
  <c r="E235" i="1"/>
  <c r="E10" i="1"/>
  <c r="F10" i="1" s="1"/>
  <c r="E25" i="1"/>
  <c r="F25" i="1" s="1"/>
  <c r="E36" i="1"/>
  <c r="F36" i="1" s="1"/>
  <c r="E38" i="1"/>
  <c r="F38" i="1" s="1"/>
  <c r="L52" i="1"/>
  <c r="M52" i="1" s="1"/>
  <c r="E93" i="1"/>
  <c r="L105" i="1"/>
  <c r="M105" i="1" s="1"/>
  <c r="L25" i="1"/>
  <c r="M25" i="1" s="1"/>
  <c r="I40" i="1"/>
  <c r="L40" i="1" s="1"/>
  <c r="M40" i="1" s="1"/>
  <c r="E118" i="1"/>
  <c r="F118" i="1" s="1"/>
  <c r="I118" i="1"/>
  <c r="L118" i="1" s="1"/>
  <c r="M118" i="1" s="1"/>
  <c r="E147" i="1"/>
  <c r="E11" i="1"/>
  <c r="F11" i="1" s="1"/>
  <c r="I14" i="1"/>
  <c r="L14" i="1" s="1"/>
  <c r="M14" i="1" s="1"/>
  <c r="E39" i="1"/>
  <c r="F39" i="1" s="1"/>
  <c r="E50" i="1"/>
  <c r="F50" i="1" s="1"/>
  <c r="I64" i="1"/>
  <c r="L51" i="1"/>
  <c r="M51" i="1" s="1"/>
  <c r="E176" i="1"/>
  <c r="I176" i="1"/>
  <c r="I12" i="1"/>
  <c r="L12" i="1" s="1"/>
  <c r="M12" i="1" s="1"/>
  <c r="I24" i="1"/>
  <c r="L24" i="1" s="1"/>
  <c r="M24" i="1" s="1"/>
  <c r="I36" i="1"/>
  <c r="L36" i="1" s="1"/>
  <c r="M36" i="1" s="1"/>
  <c r="C134" i="1"/>
  <c r="I76" i="1"/>
  <c r="C146" i="1"/>
  <c r="L53" i="1"/>
  <c r="M53" i="1" s="1"/>
  <c r="E76" i="1"/>
  <c r="I92" i="1"/>
  <c r="I163" i="1"/>
  <c r="C174" i="1"/>
  <c r="I177" i="1"/>
  <c r="E94" i="1"/>
  <c r="L106" i="1"/>
  <c r="M106" i="1" s="1"/>
  <c r="E148" i="1"/>
  <c r="I148" i="1"/>
  <c r="C161" i="1"/>
  <c r="E106" i="1"/>
  <c r="F106" i="1" s="1"/>
  <c r="E117" i="1"/>
  <c r="F117" i="1" s="1"/>
  <c r="I147" i="1"/>
  <c r="I175" i="1"/>
  <c r="C190" i="1"/>
  <c r="A217" i="1"/>
  <c r="A219" i="1"/>
  <c r="C246" i="1"/>
  <c r="I233" i="1"/>
  <c r="I234" i="1"/>
  <c r="A262" i="1"/>
  <c r="H262" i="1"/>
  <c r="H260" i="1"/>
  <c r="A260" i="1"/>
  <c r="C233" i="1"/>
  <c r="C234" i="1"/>
  <c r="A247" i="1"/>
  <c r="C249" i="1"/>
  <c r="H249" i="1"/>
  <c r="B259" i="1"/>
  <c r="I236" i="1"/>
  <c r="A248" i="1"/>
  <c r="E236" i="1"/>
  <c r="B261" i="1"/>
  <c r="L202" i="1" l="1"/>
  <c r="E205" i="1"/>
  <c r="J248" i="1"/>
  <c r="D248" i="1"/>
  <c r="J262" i="1"/>
  <c r="D262" i="1"/>
  <c r="J247" i="1"/>
  <c r="D247" i="1"/>
  <c r="I135" i="1"/>
  <c r="J260" i="1"/>
  <c r="D260" i="1"/>
  <c r="J249" i="1"/>
  <c r="D249" i="1"/>
  <c r="I235" i="1"/>
  <c r="L65" i="1"/>
  <c r="M65" i="1" s="1"/>
  <c r="I218" i="1"/>
  <c r="E132" i="1"/>
  <c r="F132" i="1" s="1"/>
  <c r="I216" i="1"/>
  <c r="I189" i="1"/>
  <c r="E79" i="1"/>
  <c r="F79" i="1" s="1"/>
  <c r="E63" i="1"/>
  <c r="L63" i="1"/>
  <c r="E65" i="1"/>
  <c r="E175" i="1"/>
  <c r="L176" i="1"/>
  <c r="I188" i="1"/>
  <c r="E162" i="1"/>
  <c r="L76" i="1"/>
  <c r="I78" i="1"/>
  <c r="L78" i="1" s="1"/>
  <c r="L64" i="1"/>
  <c r="F93" i="1"/>
  <c r="E249" i="1"/>
  <c r="I249" i="1"/>
  <c r="C262" i="1"/>
  <c r="E233" i="1"/>
  <c r="E204" i="1"/>
  <c r="I204" i="1"/>
  <c r="F189" i="1"/>
  <c r="E164" i="1"/>
  <c r="I164" i="1"/>
  <c r="L175" i="1"/>
  <c r="I77" i="1"/>
  <c r="E77" i="1"/>
  <c r="F177" i="1"/>
  <c r="I134" i="1"/>
  <c r="L134" i="1" s="1"/>
  <c r="E134" i="1"/>
  <c r="M94" i="1"/>
  <c r="I66" i="1"/>
  <c r="L66" i="1" s="1"/>
  <c r="E66" i="1"/>
  <c r="C248" i="1"/>
  <c r="A259" i="1"/>
  <c r="H259" i="1"/>
  <c r="C247" i="1"/>
  <c r="C260" i="1"/>
  <c r="E216" i="1"/>
  <c r="E234" i="1"/>
  <c r="M202" i="1"/>
  <c r="I187" i="1"/>
  <c r="L187" i="1" s="1"/>
  <c r="E187" i="1"/>
  <c r="E149" i="1"/>
  <c r="I149" i="1"/>
  <c r="E190" i="1"/>
  <c r="I190" i="1"/>
  <c r="I203" i="1"/>
  <c r="E203" i="1"/>
  <c r="F188" i="1"/>
  <c r="L162" i="1"/>
  <c r="L163" i="1"/>
  <c r="F76" i="1"/>
  <c r="L148" i="1"/>
  <c r="F135" i="1"/>
  <c r="F78" i="1"/>
  <c r="L92" i="1"/>
  <c r="F64" i="1"/>
  <c r="F147" i="1"/>
  <c r="F236" i="1"/>
  <c r="F202" i="1"/>
  <c r="E133" i="1"/>
  <c r="I133" i="1"/>
  <c r="L147" i="1"/>
  <c r="I161" i="1"/>
  <c r="E161" i="1"/>
  <c r="F148" i="1"/>
  <c r="F94" i="1"/>
  <c r="M176" i="1"/>
  <c r="I146" i="1"/>
  <c r="E146" i="1"/>
  <c r="M79" i="1"/>
  <c r="F176" i="1"/>
  <c r="M91" i="1"/>
  <c r="H261" i="1"/>
  <c r="A261" i="1"/>
  <c r="F205" i="1"/>
  <c r="F235" i="1"/>
  <c r="E246" i="1"/>
  <c r="I246" i="1"/>
  <c r="L205" i="1"/>
  <c r="L203" i="1"/>
  <c r="L177" i="1"/>
  <c r="L135" i="1"/>
  <c r="I174" i="1"/>
  <c r="E174" i="1"/>
  <c r="F163" i="1"/>
  <c r="M132" i="1"/>
  <c r="M93" i="1"/>
  <c r="J261" i="1" l="1"/>
  <c r="D261" i="1"/>
  <c r="J259" i="1"/>
  <c r="D259" i="1"/>
  <c r="E218" i="1"/>
  <c r="F218" i="1" s="1"/>
  <c r="M76" i="1"/>
  <c r="L190" i="1"/>
  <c r="M190" i="1" s="1"/>
  <c r="F162" i="1"/>
  <c r="F65" i="1"/>
  <c r="F63" i="1"/>
  <c r="L189" i="1"/>
  <c r="M64" i="1"/>
  <c r="M63" i="1"/>
  <c r="L188" i="1"/>
  <c r="F175" i="1"/>
  <c r="L146" i="1"/>
  <c r="M205" i="1"/>
  <c r="M147" i="1"/>
  <c r="L133" i="1"/>
  <c r="M66" i="1"/>
  <c r="M162" i="1"/>
  <c r="F149" i="1"/>
  <c r="F234" i="1"/>
  <c r="I247" i="1"/>
  <c r="E247" i="1"/>
  <c r="M175" i="1"/>
  <c r="L164" i="1"/>
  <c r="E262" i="1"/>
  <c r="I262" i="1"/>
  <c r="L161" i="1"/>
  <c r="M177" i="1"/>
  <c r="E219" i="1"/>
  <c r="I219" i="1"/>
  <c r="F246" i="1"/>
  <c r="C261" i="1"/>
  <c r="F146" i="1"/>
  <c r="F133" i="1"/>
  <c r="M134" i="1"/>
  <c r="L77" i="1"/>
  <c r="F203" i="1"/>
  <c r="F190" i="1"/>
  <c r="I260" i="1"/>
  <c r="E260" i="1"/>
  <c r="F77" i="1"/>
  <c r="F164" i="1"/>
  <c r="L204" i="1"/>
  <c r="F249" i="1"/>
  <c r="F174" i="1"/>
  <c r="M135" i="1"/>
  <c r="M203" i="1"/>
  <c r="M78" i="1"/>
  <c r="F161" i="1"/>
  <c r="M148" i="1"/>
  <c r="F187" i="1"/>
  <c r="I217" i="1"/>
  <c r="E217" i="1"/>
  <c r="F216" i="1"/>
  <c r="C259" i="1"/>
  <c r="L174" i="1"/>
  <c r="F204" i="1"/>
  <c r="F233" i="1"/>
  <c r="M187" i="1"/>
  <c r="M92" i="1"/>
  <c r="M163" i="1"/>
  <c r="L149" i="1"/>
  <c r="E248" i="1"/>
  <c r="I248" i="1"/>
  <c r="F66" i="1"/>
  <c r="F134" i="1"/>
  <c r="M188" i="1" l="1"/>
  <c r="M189" i="1"/>
  <c r="M149" i="1"/>
  <c r="M174" i="1"/>
  <c r="F217" i="1"/>
  <c r="F260" i="1"/>
  <c r="E261" i="1"/>
  <c r="I261" i="1"/>
  <c r="M133" i="1"/>
  <c r="F247" i="1"/>
  <c r="F248" i="1"/>
  <c r="M77" i="1"/>
  <c r="M164" i="1"/>
  <c r="E259" i="1"/>
  <c r="I259" i="1"/>
  <c r="M204" i="1"/>
  <c r="F219" i="1"/>
  <c r="M161" i="1"/>
  <c r="F262" i="1"/>
  <c r="M146" i="1"/>
  <c r="F261" i="1" l="1"/>
  <c r="F259" i="1"/>
</calcChain>
</file>

<file path=xl/sharedStrings.xml><?xml version="1.0" encoding="utf-8"?>
<sst xmlns="http://schemas.openxmlformats.org/spreadsheetml/2006/main" count="509" uniqueCount="71">
  <si>
    <t>Bill Comparison</t>
  </si>
  <si>
    <t>Residential</t>
  </si>
  <si>
    <t>Forecast Customers: 485,421</t>
  </si>
  <si>
    <t>Difference</t>
  </si>
  <si>
    <t xml:space="preserve">Percent </t>
  </si>
  <si>
    <t>kWh</t>
  </si>
  <si>
    <t>$ / Month</t>
  </si>
  <si>
    <t>in $ / Month</t>
  </si>
  <si>
    <t>Change</t>
  </si>
  <si>
    <t xml:space="preserve">Seasonal </t>
  </si>
  <si>
    <t>Forecast Customers: 19,717</t>
  </si>
  <si>
    <t>$ / Summer</t>
  </si>
  <si>
    <t>in $ / Summer</t>
  </si>
  <si>
    <t>Diesel</t>
  </si>
  <si>
    <t>Forecast Customers: 598</t>
  </si>
  <si>
    <t>General Service Small</t>
  </si>
  <si>
    <t xml:space="preserve"> &lt; 50 kVA</t>
  </si>
  <si>
    <t>Forecast Customers: 53,018</t>
  </si>
  <si>
    <t xml:space="preserve"> 51 kVA</t>
  </si>
  <si>
    <t>Forecast Customers: 12,820</t>
  </si>
  <si>
    <t>Load</t>
  </si>
  <si>
    <t>Factor</t>
  </si>
  <si>
    <t>100 kVA</t>
  </si>
  <si>
    <t>General Service</t>
  </si>
  <si>
    <t>Seasonal</t>
  </si>
  <si>
    <t>Forecast Customers: 909</t>
  </si>
  <si>
    <t>Forecast Customers: 120</t>
  </si>
  <si>
    <t xml:space="preserve"> Government and First Nation Education</t>
  </si>
  <si>
    <t>Forecast Customers: 67</t>
  </si>
  <si>
    <t>General Service Medium</t>
  </si>
  <si>
    <t>500 kVA</t>
  </si>
  <si>
    <t>Forecast Customers: 2,106</t>
  </si>
  <si>
    <t>1 000 kVA</t>
  </si>
  <si>
    <t>General Service Large - 750 V to 30 kV</t>
  </si>
  <si>
    <t>5 000 kVA</t>
  </si>
  <si>
    <t>Forecast Customers: 319</t>
  </si>
  <si>
    <t>General Service Large - 30 kV to 100 kV</t>
  </si>
  <si>
    <t>10 000 kVA</t>
  </si>
  <si>
    <t>Forecast Customers: 40</t>
  </si>
  <si>
    <t>General Service Large - Over 100 kV</t>
  </si>
  <si>
    <t>50 000 kVA</t>
  </si>
  <si>
    <t>Forecast Customers: 13</t>
  </si>
  <si>
    <t>Limited Use Billing Demand - General Service Small</t>
  </si>
  <si>
    <t>Forecast Customers: 46</t>
  </si>
  <si>
    <t>Limited Use Billing Demand - General Service Medium</t>
  </si>
  <si>
    <t>Forecast Customers: 19</t>
  </si>
  <si>
    <t>Limited Use Billing Demand - General Service Large - 750 V to 30 kV</t>
  </si>
  <si>
    <t>Forecast Customers: 2</t>
  </si>
  <si>
    <t>Limited Use Billing Demand - General Service Large - 30 kV to 100 kV</t>
  </si>
  <si>
    <t>Forecast Customers: 0</t>
  </si>
  <si>
    <t>Limited Use Billing Demand - General Service Large - Over 100 kV</t>
  </si>
  <si>
    <t>Forecast Customers: 3</t>
  </si>
  <si>
    <t>Forecast Customers: 492,793</t>
  </si>
  <si>
    <t>Forecast Customers: 19,284</t>
  </si>
  <si>
    <t>Forecast Customers: 593</t>
  </si>
  <si>
    <t>Forecast Customers: 53,051</t>
  </si>
  <si>
    <t>Forecast Customers: 13,271</t>
  </si>
  <si>
    <t>Forecast Customers: 960</t>
  </si>
  <si>
    <t>Forecast Customers: 117</t>
  </si>
  <si>
    <t>Forecast Customers: 1,947</t>
  </si>
  <si>
    <t>Forecast Customers: 326</t>
  </si>
  <si>
    <t>Forecast Customers: 43</t>
  </si>
  <si>
    <t>Forecast Customers: 14</t>
  </si>
  <si>
    <t>Forecast Customers: 45</t>
  </si>
  <si>
    <t>W recovery</t>
  </si>
  <si>
    <t>Recovery rate</t>
  </si>
  <si>
    <t>Interim</t>
  </si>
  <si>
    <t>Proposed</t>
  </si>
  <si>
    <t>Interim to Proposed</t>
  </si>
  <si>
    <t>in $/Month</t>
  </si>
  <si>
    <t>Interim to Proposed + Recovery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</si>
</sst>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\(&quot;$&quot;#,##0.00000\)"/>
    <numFmt numFmtId="165" formatCode="mmmm\ d\,\ yyyy"/>
    <numFmt numFmtId="166" formatCode="_(\ #\ ##0_);_(\(#\ ##0\);"/>
    <numFmt numFmtId="167" formatCode="_(* #,##0_);_(* \(#,##0\);_(* &quot;-&quot;??_);_(@_)"/>
    <numFmt numFmtId="168" formatCode="0.0%"/>
    <numFmt numFmtId="169" formatCode="#,##0.000_);\(#,##0.000\)"/>
    <numFmt numFmtId="170" formatCode="&quot;$&quot;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Alignment="1">
      <alignment horizontal="center"/>
    </xf>
    <xf numFmtId="164" fontId="2" fillId="0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right"/>
    </xf>
    <xf numFmtId="7" fontId="2" fillId="0" borderId="3" xfId="0" applyNumberFormat="1" applyFont="1" applyBorder="1" applyAlignment="1">
      <alignment horizontal="right"/>
    </xf>
    <xf numFmtId="10" fontId="2" fillId="0" borderId="3" xfId="3" applyNumberFormat="1" applyFont="1" applyBorder="1" applyAlignment="1">
      <alignment horizontal="right"/>
    </xf>
    <xf numFmtId="7" fontId="2" fillId="0" borderId="0" xfId="0" applyNumberFormat="1" applyFont="1"/>
    <xf numFmtId="166" fontId="2" fillId="0" borderId="0" xfId="0" applyNumberFormat="1" applyFont="1" applyBorder="1" applyAlignment="1">
      <alignment horizontal="center"/>
    </xf>
    <xf numFmtId="7" fontId="2" fillId="0" borderId="0" xfId="0" applyNumberFormat="1" applyFont="1" applyBorder="1" applyAlignment="1">
      <alignment horizontal="center"/>
    </xf>
    <xf numFmtId="10" fontId="2" fillId="0" borderId="0" xfId="3" applyNumberFormat="1" applyFont="1" applyBorder="1" applyAlignment="1">
      <alignment horizontal="center"/>
    </xf>
    <xf numFmtId="166" fontId="2" fillId="0" borderId="0" xfId="0" applyNumberFormat="1" applyFont="1"/>
    <xf numFmtId="10" fontId="2" fillId="0" borderId="0" xfId="3" applyNumberFormat="1" applyFont="1"/>
    <xf numFmtId="0" fontId="2" fillId="0" borderId="0" xfId="0" applyFont="1" applyAlignment="1">
      <alignment horizontal="left"/>
    </xf>
    <xf numFmtId="167" fontId="2" fillId="0" borderId="0" xfId="1" applyNumberFormat="1" applyFont="1"/>
    <xf numFmtId="7" fontId="2" fillId="0" borderId="3" xfId="0" applyNumberFormat="1" applyFont="1" applyFill="1" applyBorder="1" applyAlignment="1">
      <alignment horizontal="right"/>
    </xf>
    <xf numFmtId="9" fontId="2" fillId="0" borderId="3" xfId="3" applyFont="1" applyBorder="1" applyAlignment="1"/>
    <xf numFmtId="7" fontId="2" fillId="0" borderId="3" xfId="2" applyNumberFormat="1" applyFont="1" applyBorder="1" applyAlignment="1"/>
    <xf numFmtId="10" fontId="2" fillId="0" borderId="3" xfId="3" applyNumberFormat="1" applyFont="1" applyBorder="1" applyAlignment="1"/>
    <xf numFmtId="9" fontId="2" fillId="0" borderId="3" xfId="3" applyFont="1" applyBorder="1" applyAlignment="1">
      <alignment horizontal="right"/>
    </xf>
    <xf numFmtId="43" fontId="2" fillId="0" borderId="0" xfId="0" applyNumberFormat="1" applyFont="1"/>
    <xf numFmtId="168" fontId="2" fillId="0" borderId="0" xfId="0" applyNumberFormat="1" applyFont="1"/>
    <xf numFmtId="167" fontId="2" fillId="0" borderId="0" xfId="0" applyNumberFormat="1" applyFont="1"/>
    <xf numFmtId="7" fontId="2" fillId="0" borderId="3" xfId="2" quotePrefix="1" applyNumberFormat="1" applyFont="1" applyBorder="1" applyAlignment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right"/>
    </xf>
    <xf numFmtId="10" fontId="2" fillId="0" borderId="3" xfId="3" applyNumberFormat="1" applyFont="1" applyFill="1" applyBorder="1" applyAlignment="1">
      <alignment horizontal="right"/>
    </xf>
    <xf numFmtId="10" fontId="2" fillId="0" borderId="0" xfId="3" applyNumberFormat="1" applyFont="1" applyBorder="1" applyAlignment="1">
      <alignment horizontal="right"/>
    </xf>
    <xf numFmtId="167" fontId="2" fillId="0" borderId="0" xfId="1" applyNumberFormat="1" applyFont="1" applyFill="1"/>
    <xf numFmtId="5" fontId="2" fillId="0" borderId="3" xfId="2" quotePrefix="1" applyNumberFormat="1" applyFont="1" applyBorder="1" applyAlignment="1"/>
    <xf numFmtId="167" fontId="4" fillId="0" borderId="0" xfId="1" applyNumberFormat="1" applyFont="1"/>
    <xf numFmtId="0" fontId="4" fillId="0" borderId="0" xfId="0" applyFont="1"/>
    <xf numFmtId="5" fontId="2" fillId="0" borderId="3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9" fontId="2" fillId="0" borderId="0" xfId="3" applyFont="1"/>
    <xf numFmtId="5" fontId="2" fillId="0" borderId="3" xfId="2" applyNumberFormat="1" applyFont="1" applyBorder="1" applyAlignment="1"/>
    <xf numFmtId="0" fontId="2" fillId="0" borderId="0" xfId="0" applyFont="1" applyAlignment="1">
      <alignment horizontal="center"/>
    </xf>
    <xf numFmtId="9" fontId="2" fillId="0" borderId="0" xfId="3" applyFont="1" applyBorder="1" applyAlignment="1"/>
    <xf numFmtId="5" fontId="2" fillId="0" borderId="0" xfId="2" applyNumberFormat="1" applyFont="1" applyFill="1" applyBorder="1" applyAlignment="1"/>
    <xf numFmtId="5" fontId="2" fillId="0" borderId="0" xfId="2" applyNumberFormat="1" applyFont="1" applyBorder="1" applyAlignment="1"/>
    <xf numFmtId="10" fontId="2" fillId="0" borderId="0" xfId="3" applyNumberFormat="1" applyFont="1" applyBorder="1" applyAlignment="1"/>
    <xf numFmtId="9" fontId="2" fillId="0" borderId="0" xfId="3" applyFont="1" applyBorder="1" applyAlignment="1">
      <alignment horizontal="right"/>
    </xf>
    <xf numFmtId="5" fontId="2" fillId="0" borderId="0" xfId="2" applyNumberFormat="1" applyFont="1" applyBorder="1" applyAlignment="1">
      <alignment horizontal="right"/>
    </xf>
    <xf numFmtId="169" fontId="2" fillId="0" borderId="0" xfId="0" applyNumberFormat="1" applyFont="1"/>
    <xf numFmtId="7" fontId="2" fillId="0" borderId="3" xfId="2" quotePrefix="1" applyNumberFormat="1" applyFont="1" applyFill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70" fontId="2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5"/>
  <sheetViews>
    <sheetView tabSelected="1" topLeftCell="A42" zoomScaleNormal="100" workbookViewId="0">
      <selection activeCell="A56" sqref="A56"/>
    </sheetView>
  </sheetViews>
  <sheetFormatPr defaultRowHeight="15.75" x14ac:dyDescent="0.25"/>
  <cols>
    <col min="1" max="1" width="15.7109375" style="18" bestFit="1" customWidth="1"/>
    <col min="2" max="6" width="18" style="1" hidden="1" customWidth="1"/>
    <col min="7" max="7" width="10.42578125" style="1" customWidth="1"/>
    <col min="8" max="8" width="10.85546875" style="1" customWidth="1"/>
    <col min="9" max="10" width="18" style="1" customWidth="1"/>
    <col min="11" max="11" width="15" style="1" bestFit="1" customWidth="1"/>
    <col min="12" max="12" width="14" style="1" bestFit="1" customWidth="1"/>
    <col min="13" max="13" width="8.5703125" style="1" bestFit="1" customWidth="1"/>
    <col min="14" max="14" width="13.42578125" style="1" customWidth="1"/>
    <col min="15" max="15" width="9.5703125" style="1" bestFit="1" customWidth="1"/>
    <col min="16" max="228" width="9.140625" style="1"/>
    <col min="229" max="229" width="18" style="1" customWidth="1"/>
    <col min="230" max="230" width="18" style="1" bestFit="1" customWidth="1"/>
    <col min="231" max="233" width="18" style="1" customWidth="1"/>
    <col min="234" max="234" width="6.28515625" style="1" customWidth="1"/>
    <col min="235" max="239" width="18" style="1" customWidth="1"/>
    <col min="240" max="240" width="12.7109375" style="1" customWidth="1"/>
    <col min="241" max="244" width="18.5703125" style="1" customWidth="1"/>
    <col min="245" max="245" width="17.85546875" style="1" customWidth="1"/>
    <col min="246" max="484" width="9.140625" style="1"/>
    <col min="485" max="485" width="18" style="1" customWidth="1"/>
    <col min="486" max="486" width="18" style="1" bestFit="1" customWidth="1"/>
    <col min="487" max="489" width="18" style="1" customWidth="1"/>
    <col min="490" max="490" width="6.28515625" style="1" customWidth="1"/>
    <col min="491" max="495" width="18" style="1" customWidth="1"/>
    <col min="496" max="496" width="12.7109375" style="1" customWidth="1"/>
    <col min="497" max="500" width="18.5703125" style="1" customWidth="1"/>
    <col min="501" max="501" width="17.85546875" style="1" customWidth="1"/>
    <col min="502" max="740" width="9.140625" style="1"/>
    <col min="741" max="741" width="18" style="1" customWidth="1"/>
    <col min="742" max="742" width="18" style="1" bestFit="1" customWidth="1"/>
    <col min="743" max="745" width="18" style="1" customWidth="1"/>
    <col min="746" max="746" width="6.28515625" style="1" customWidth="1"/>
    <col min="747" max="751" width="18" style="1" customWidth="1"/>
    <col min="752" max="752" width="12.7109375" style="1" customWidth="1"/>
    <col min="753" max="756" width="18.5703125" style="1" customWidth="1"/>
    <col min="757" max="757" width="17.85546875" style="1" customWidth="1"/>
    <col min="758" max="996" width="9.140625" style="1"/>
    <col min="997" max="997" width="18" style="1" customWidth="1"/>
    <col min="998" max="998" width="18" style="1" bestFit="1" customWidth="1"/>
    <col min="999" max="1001" width="18" style="1" customWidth="1"/>
    <col min="1002" max="1002" width="6.28515625" style="1" customWidth="1"/>
    <col min="1003" max="1007" width="18" style="1" customWidth="1"/>
    <col min="1008" max="1008" width="12.7109375" style="1" customWidth="1"/>
    <col min="1009" max="1012" width="18.5703125" style="1" customWidth="1"/>
    <col min="1013" max="1013" width="17.85546875" style="1" customWidth="1"/>
    <col min="1014" max="1252" width="9.140625" style="1"/>
    <col min="1253" max="1253" width="18" style="1" customWidth="1"/>
    <col min="1254" max="1254" width="18" style="1" bestFit="1" customWidth="1"/>
    <col min="1255" max="1257" width="18" style="1" customWidth="1"/>
    <col min="1258" max="1258" width="6.28515625" style="1" customWidth="1"/>
    <col min="1259" max="1263" width="18" style="1" customWidth="1"/>
    <col min="1264" max="1264" width="12.7109375" style="1" customWidth="1"/>
    <col min="1265" max="1268" width="18.5703125" style="1" customWidth="1"/>
    <col min="1269" max="1269" width="17.85546875" style="1" customWidth="1"/>
    <col min="1270" max="1508" width="9.140625" style="1"/>
    <col min="1509" max="1509" width="18" style="1" customWidth="1"/>
    <col min="1510" max="1510" width="18" style="1" bestFit="1" customWidth="1"/>
    <col min="1511" max="1513" width="18" style="1" customWidth="1"/>
    <col min="1514" max="1514" width="6.28515625" style="1" customWidth="1"/>
    <col min="1515" max="1519" width="18" style="1" customWidth="1"/>
    <col min="1520" max="1520" width="12.7109375" style="1" customWidth="1"/>
    <col min="1521" max="1524" width="18.5703125" style="1" customWidth="1"/>
    <col min="1525" max="1525" width="17.85546875" style="1" customWidth="1"/>
    <col min="1526" max="1764" width="9.140625" style="1"/>
    <col min="1765" max="1765" width="18" style="1" customWidth="1"/>
    <col min="1766" max="1766" width="18" style="1" bestFit="1" customWidth="1"/>
    <col min="1767" max="1769" width="18" style="1" customWidth="1"/>
    <col min="1770" max="1770" width="6.28515625" style="1" customWidth="1"/>
    <col min="1771" max="1775" width="18" style="1" customWidth="1"/>
    <col min="1776" max="1776" width="12.7109375" style="1" customWidth="1"/>
    <col min="1777" max="1780" width="18.5703125" style="1" customWidth="1"/>
    <col min="1781" max="1781" width="17.85546875" style="1" customWidth="1"/>
    <col min="1782" max="2020" width="9.140625" style="1"/>
    <col min="2021" max="2021" width="18" style="1" customWidth="1"/>
    <col min="2022" max="2022" width="18" style="1" bestFit="1" customWidth="1"/>
    <col min="2023" max="2025" width="18" style="1" customWidth="1"/>
    <col min="2026" max="2026" width="6.28515625" style="1" customWidth="1"/>
    <col min="2027" max="2031" width="18" style="1" customWidth="1"/>
    <col min="2032" max="2032" width="12.7109375" style="1" customWidth="1"/>
    <col min="2033" max="2036" width="18.5703125" style="1" customWidth="1"/>
    <col min="2037" max="2037" width="17.85546875" style="1" customWidth="1"/>
    <col min="2038" max="2276" width="9.140625" style="1"/>
    <col min="2277" max="2277" width="18" style="1" customWidth="1"/>
    <col min="2278" max="2278" width="18" style="1" bestFit="1" customWidth="1"/>
    <col min="2279" max="2281" width="18" style="1" customWidth="1"/>
    <col min="2282" max="2282" width="6.28515625" style="1" customWidth="1"/>
    <col min="2283" max="2287" width="18" style="1" customWidth="1"/>
    <col min="2288" max="2288" width="12.7109375" style="1" customWidth="1"/>
    <col min="2289" max="2292" width="18.5703125" style="1" customWidth="1"/>
    <col min="2293" max="2293" width="17.85546875" style="1" customWidth="1"/>
    <col min="2294" max="2532" width="9.140625" style="1"/>
    <col min="2533" max="2533" width="18" style="1" customWidth="1"/>
    <col min="2534" max="2534" width="18" style="1" bestFit="1" customWidth="1"/>
    <col min="2535" max="2537" width="18" style="1" customWidth="1"/>
    <col min="2538" max="2538" width="6.28515625" style="1" customWidth="1"/>
    <col min="2539" max="2543" width="18" style="1" customWidth="1"/>
    <col min="2544" max="2544" width="12.7109375" style="1" customWidth="1"/>
    <col min="2545" max="2548" width="18.5703125" style="1" customWidth="1"/>
    <col min="2549" max="2549" width="17.85546875" style="1" customWidth="1"/>
    <col min="2550" max="2788" width="9.140625" style="1"/>
    <col min="2789" max="2789" width="18" style="1" customWidth="1"/>
    <col min="2790" max="2790" width="18" style="1" bestFit="1" customWidth="1"/>
    <col min="2791" max="2793" width="18" style="1" customWidth="1"/>
    <col min="2794" max="2794" width="6.28515625" style="1" customWidth="1"/>
    <col min="2795" max="2799" width="18" style="1" customWidth="1"/>
    <col min="2800" max="2800" width="12.7109375" style="1" customWidth="1"/>
    <col min="2801" max="2804" width="18.5703125" style="1" customWidth="1"/>
    <col min="2805" max="2805" width="17.85546875" style="1" customWidth="1"/>
    <col min="2806" max="3044" width="9.140625" style="1"/>
    <col min="3045" max="3045" width="18" style="1" customWidth="1"/>
    <col min="3046" max="3046" width="18" style="1" bestFit="1" customWidth="1"/>
    <col min="3047" max="3049" width="18" style="1" customWidth="1"/>
    <col min="3050" max="3050" width="6.28515625" style="1" customWidth="1"/>
    <col min="3051" max="3055" width="18" style="1" customWidth="1"/>
    <col min="3056" max="3056" width="12.7109375" style="1" customWidth="1"/>
    <col min="3057" max="3060" width="18.5703125" style="1" customWidth="1"/>
    <col min="3061" max="3061" width="17.85546875" style="1" customWidth="1"/>
    <col min="3062" max="3300" width="9.140625" style="1"/>
    <col min="3301" max="3301" width="18" style="1" customWidth="1"/>
    <col min="3302" max="3302" width="18" style="1" bestFit="1" customWidth="1"/>
    <col min="3303" max="3305" width="18" style="1" customWidth="1"/>
    <col min="3306" max="3306" width="6.28515625" style="1" customWidth="1"/>
    <col min="3307" max="3311" width="18" style="1" customWidth="1"/>
    <col min="3312" max="3312" width="12.7109375" style="1" customWidth="1"/>
    <col min="3313" max="3316" width="18.5703125" style="1" customWidth="1"/>
    <col min="3317" max="3317" width="17.85546875" style="1" customWidth="1"/>
    <col min="3318" max="3556" width="9.140625" style="1"/>
    <col min="3557" max="3557" width="18" style="1" customWidth="1"/>
    <col min="3558" max="3558" width="18" style="1" bestFit="1" customWidth="1"/>
    <col min="3559" max="3561" width="18" style="1" customWidth="1"/>
    <col min="3562" max="3562" width="6.28515625" style="1" customWidth="1"/>
    <col min="3563" max="3567" width="18" style="1" customWidth="1"/>
    <col min="3568" max="3568" width="12.7109375" style="1" customWidth="1"/>
    <col min="3569" max="3572" width="18.5703125" style="1" customWidth="1"/>
    <col min="3573" max="3573" width="17.85546875" style="1" customWidth="1"/>
    <col min="3574" max="3812" width="9.140625" style="1"/>
    <col min="3813" max="3813" width="18" style="1" customWidth="1"/>
    <col min="3814" max="3814" width="18" style="1" bestFit="1" customWidth="1"/>
    <col min="3815" max="3817" width="18" style="1" customWidth="1"/>
    <col min="3818" max="3818" width="6.28515625" style="1" customWidth="1"/>
    <col min="3819" max="3823" width="18" style="1" customWidth="1"/>
    <col min="3824" max="3824" width="12.7109375" style="1" customWidth="1"/>
    <col min="3825" max="3828" width="18.5703125" style="1" customWidth="1"/>
    <col min="3829" max="3829" width="17.85546875" style="1" customWidth="1"/>
    <col min="3830" max="4068" width="9.140625" style="1"/>
    <col min="4069" max="4069" width="18" style="1" customWidth="1"/>
    <col min="4070" max="4070" width="18" style="1" bestFit="1" customWidth="1"/>
    <col min="4071" max="4073" width="18" style="1" customWidth="1"/>
    <col min="4074" max="4074" width="6.28515625" style="1" customWidth="1"/>
    <col min="4075" max="4079" width="18" style="1" customWidth="1"/>
    <col min="4080" max="4080" width="12.7109375" style="1" customWidth="1"/>
    <col min="4081" max="4084" width="18.5703125" style="1" customWidth="1"/>
    <col min="4085" max="4085" width="17.85546875" style="1" customWidth="1"/>
    <col min="4086" max="4324" width="9.140625" style="1"/>
    <col min="4325" max="4325" width="18" style="1" customWidth="1"/>
    <col min="4326" max="4326" width="18" style="1" bestFit="1" customWidth="1"/>
    <col min="4327" max="4329" width="18" style="1" customWidth="1"/>
    <col min="4330" max="4330" width="6.28515625" style="1" customWidth="1"/>
    <col min="4331" max="4335" width="18" style="1" customWidth="1"/>
    <col min="4336" max="4336" width="12.7109375" style="1" customWidth="1"/>
    <col min="4337" max="4340" width="18.5703125" style="1" customWidth="1"/>
    <col min="4341" max="4341" width="17.85546875" style="1" customWidth="1"/>
    <col min="4342" max="4580" width="9.140625" style="1"/>
    <col min="4581" max="4581" width="18" style="1" customWidth="1"/>
    <col min="4582" max="4582" width="18" style="1" bestFit="1" customWidth="1"/>
    <col min="4583" max="4585" width="18" style="1" customWidth="1"/>
    <col min="4586" max="4586" width="6.28515625" style="1" customWidth="1"/>
    <col min="4587" max="4591" width="18" style="1" customWidth="1"/>
    <col min="4592" max="4592" width="12.7109375" style="1" customWidth="1"/>
    <col min="4593" max="4596" width="18.5703125" style="1" customWidth="1"/>
    <col min="4597" max="4597" width="17.85546875" style="1" customWidth="1"/>
    <col min="4598" max="4836" width="9.140625" style="1"/>
    <col min="4837" max="4837" width="18" style="1" customWidth="1"/>
    <col min="4838" max="4838" width="18" style="1" bestFit="1" customWidth="1"/>
    <col min="4839" max="4841" width="18" style="1" customWidth="1"/>
    <col min="4842" max="4842" width="6.28515625" style="1" customWidth="1"/>
    <col min="4843" max="4847" width="18" style="1" customWidth="1"/>
    <col min="4848" max="4848" width="12.7109375" style="1" customWidth="1"/>
    <col min="4849" max="4852" width="18.5703125" style="1" customWidth="1"/>
    <col min="4853" max="4853" width="17.85546875" style="1" customWidth="1"/>
    <col min="4854" max="5092" width="9.140625" style="1"/>
    <col min="5093" max="5093" width="18" style="1" customWidth="1"/>
    <col min="5094" max="5094" width="18" style="1" bestFit="1" customWidth="1"/>
    <col min="5095" max="5097" width="18" style="1" customWidth="1"/>
    <col min="5098" max="5098" width="6.28515625" style="1" customWidth="1"/>
    <col min="5099" max="5103" width="18" style="1" customWidth="1"/>
    <col min="5104" max="5104" width="12.7109375" style="1" customWidth="1"/>
    <col min="5105" max="5108" width="18.5703125" style="1" customWidth="1"/>
    <col min="5109" max="5109" width="17.85546875" style="1" customWidth="1"/>
    <col min="5110" max="5348" width="9.140625" style="1"/>
    <col min="5349" max="5349" width="18" style="1" customWidth="1"/>
    <col min="5350" max="5350" width="18" style="1" bestFit="1" customWidth="1"/>
    <col min="5351" max="5353" width="18" style="1" customWidth="1"/>
    <col min="5354" max="5354" width="6.28515625" style="1" customWidth="1"/>
    <col min="5355" max="5359" width="18" style="1" customWidth="1"/>
    <col min="5360" max="5360" width="12.7109375" style="1" customWidth="1"/>
    <col min="5361" max="5364" width="18.5703125" style="1" customWidth="1"/>
    <col min="5365" max="5365" width="17.85546875" style="1" customWidth="1"/>
    <col min="5366" max="5604" width="9.140625" style="1"/>
    <col min="5605" max="5605" width="18" style="1" customWidth="1"/>
    <col min="5606" max="5606" width="18" style="1" bestFit="1" customWidth="1"/>
    <col min="5607" max="5609" width="18" style="1" customWidth="1"/>
    <col min="5610" max="5610" width="6.28515625" style="1" customWidth="1"/>
    <col min="5611" max="5615" width="18" style="1" customWidth="1"/>
    <col min="5616" max="5616" width="12.7109375" style="1" customWidth="1"/>
    <col min="5617" max="5620" width="18.5703125" style="1" customWidth="1"/>
    <col min="5621" max="5621" width="17.85546875" style="1" customWidth="1"/>
    <col min="5622" max="5860" width="9.140625" style="1"/>
    <col min="5861" max="5861" width="18" style="1" customWidth="1"/>
    <col min="5862" max="5862" width="18" style="1" bestFit="1" customWidth="1"/>
    <col min="5863" max="5865" width="18" style="1" customWidth="1"/>
    <col min="5866" max="5866" width="6.28515625" style="1" customWidth="1"/>
    <col min="5867" max="5871" width="18" style="1" customWidth="1"/>
    <col min="5872" max="5872" width="12.7109375" style="1" customWidth="1"/>
    <col min="5873" max="5876" width="18.5703125" style="1" customWidth="1"/>
    <col min="5877" max="5877" width="17.85546875" style="1" customWidth="1"/>
    <col min="5878" max="6116" width="9.140625" style="1"/>
    <col min="6117" max="6117" width="18" style="1" customWidth="1"/>
    <col min="6118" max="6118" width="18" style="1" bestFit="1" customWidth="1"/>
    <col min="6119" max="6121" width="18" style="1" customWidth="1"/>
    <col min="6122" max="6122" width="6.28515625" style="1" customWidth="1"/>
    <col min="6123" max="6127" width="18" style="1" customWidth="1"/>
    <col min="6128" max="6128" width="12.7109375" style="1" customWidth="1"/>
    <col min="6129" max="6132" width="18.5703125" style="1" customWidth="1"/>
    <col min="6133" max="6133" width="17.85546875" style="1" customWidth="1"/>
    <col min="6134" max="6372" width="9.140625" style="1"/>
    <col min="6373" max="6373" width="18" style="1" customWidth="1"/>
    <col min="6374" max="6374" width="18" style="1" bestFit="1" customWidth="1"/>
    <col min="6375" max="6377" width="18" style="1" customWidth="1"/>
    <col min="6378" max="6378" width="6.28515625" style="1" customWidth="1"/>
    <col min="6379" max="6383" width="18" style="1" customWidth="1"/>
    <col min="6384" max="6384" width="12.7109375" style="1" customWidth="1"/>
    <col min="6385" max="6388" width="18.5703125" style="1" customWidth="1"/>
    <col min="6389" max="6389" width="17.85546875" style="1" customWidth="1"/>
    <col min="6390" max="6628" width="9.140625" style="1"/>
    <col min="6629" max="6629" width="18" style="1" customWidth="1"/>
    <col min="6630" max="6630" width="18" style="1" bestFit="1" customWidth="1"/>
    <col min="6631" max="6633" width="18" style="1" customWidth="1"/>
    <col min="6634" max="6634" width="6.28515625" style="1" customWidth="1"/>
    <col min="6635" max="6639" width="18" style="1" customWidth="1"/>
    <col min="6640" max="6640" width="12.7109375" style="1" customWidth="1"/>
    <col min="6641" max="6644" width="18.5703125" style="1" customWidth="1"/>
    <col min="6645" max="6645" width="17.85546875" style="1" customWidth="1"/>
    <col min="6646" max="6884" width="9.140625" style="1"/>
    <col min="6885" max="6885" width="18" style="1" customWidth="1"/>
    <col min="6886" max="6886" width="18" style="1" bestFit="1" customWidth="1"/>
    <col min="6887" max="6889" width="18" style="1" customWidth="1"/>
    <col min="6890" max="6890" width="6.28515625" style="1" customWidth="1"/>
    <col min="6891" max="6895" width="18" style="1" customWidth="1"/>
    <col min="6896" max="6896" width="12.7109375" style="1" customWidth="1"/>
    <col min="6897" max="6900" width="18.5703125" style="1" customWidth="1"/>
    <col min="6901" max="6901" width="17.85546875" style="1" customWidth="1"/>
    <col min="6902" max="7140" width="9.140625" style="1"/>
    <col min="7141" max="7141" width="18" style="1" customWidth="1"/>
    <col min="7142" max="7142" width="18" style="1" bestFit="1" customWidth="1"/>
    <col min="7143" max="7145" width="18" style="1" customWidth="1"/>
    <col min="7146" max="7146" width="6.28515625" style="1" customWidth="1"/>
    <col min="7147" max="7151" width="18" style="1" customWidth="1"/>
    <col min="7152" max="7152" width="12.7109375" style="1" customWidth="1"/>
    <col min="7153" max="7156" width="18.5703125" style="1" customWidth="1"/>
    <col min="7157" max="7157" width="17.85546875" style="1" customWidth="1"/>
    <col min="7158" max="7396" width="9.140625" style="1"/>
    <col min="7397" max="7397" width="18" style="1" customWidth="1"/>
    <col min="7398" max="7398" width="18" style="1" bestFit="1" customWidth="1"/>
    <col min="7399" max="7401" width="18" style="1" customWidth="1"/>
    <col min="7402" max="7402" width="6.28515625" style="1" customWidth="1"/>
    <col min="7403" max="7407" width="18" style="1" customWidth="1"/>
    <col min="7408" max="7408" width="12.7109375" style="1" customWidth="1"/>
    <col min="7409" max="7412" width="18.5703125" style="1" customWidth="1"/>
    <col min="7413" max="7413" width="17.85546875" style="1" customWidth="1"/>
    <col min="7414" max="7652" width="9.140625" style="1"/>
    <col min="7653" max="7653" width="18" style="1" customWidth="1"/>
    <col min="7654" max="7654" width="18" style="1" bestFit="1" customWidth="1"/>
    <col min="7655" max="7657" width="18" style="1" customWidth="1"/>
    <col min="7658" max="7658" width="6.28515625" style="1" customWidth="1"/>
    <col min="7659" max="7663" width="18" style="1" customWidth="1"/>
    <col min="7664" max="7664" width="12.7109375" style="1" customWidth="1"/>
    <col min="7665" max="7668" width="18.5703125" style="1" customWidth="1"/>
    <col min="7669" max="7669" width="17.85546875" style="1" customWidth="1"/>
    <col min="7670" max="7908" width="9.140625" style="1"/>
    <col min="7909" max="7909" width="18" style="1" customWidth="1"/>
    <col min="7910" max="7910" width="18" style="1" bestFit="1" customWidth="1"/>
    <col min="7911" max="7913" width="18" style="1" customWidth="1"/>
    <col min="7914" max="7914" width="6.28515625" style="1" customWidth="1"/>
    <col min="7915" max="7919" width="18" style="1" customWidth="1"/>
    <col min="7920" max="7920" width="12.7109375" style="1" customWidth="1"/>
    <col min="7921" max="7924" width="18.5703125" style="1" customWidth="1"/>
    <col min="7925" max="7925" width="17.85546875" style="1" customWidth="1"/>
    <col min="7926" max="8164" width="9.140625" style="1"/>
    <col min="8165" max="8165" width="18" style="1" customWidth="1"/>
    <col min="8166" max="8166" width="18" style="1" bestFit="1" customWidth="1"/>
    <col min="8167" max="8169" width="18" style="1" customWidth="1"/>
    <col min="8170" max="8170" width="6.28515625" style="1" customWidth="1"/>
    <col min="8171" max="8175" width="18" style="1" customWidth="1"/>
    <col min="8176" max="8176" width="12.7109375" style="1" customWidth="1"/>
    <col min="8177" max="8180" width="18.5703125" style="1" customWidth="1"/>
    <col min="8181" max="8181" width="17.85546875" style="1" customWidth="1"/>
    <col min="8182" max="8420" width="9.140625" style="1"/>
    <col min="8421" max="8421" width="18" style="1" customWidth="1"/>
    <col min="8422" max="8422" width="18" style="1" bestFit="1" customWidth="1"/>
    <col min="8423" max="8425" width="18" style="1" customWidth="1"/>
    <col min="8426" max="8426" width="6.28515625" style="1" customWidth="1"/>
    <col min="8427" max="8431" width="18" style="1" customWidth="1"/>
    <col min="8432" max="8432" width="12.7109375" style="1" customWidth="1"/>
    <col min="8433" max="8436" width="18.5703125" style="1" customWidth="1"/>
    <col min="8437" max="8437" width="17.85546875" style="1" customWidth="1"/>
    <col min="8438" max="8676" width="9.140625" style="1"/>
    <col min="8677" max="8677" width="18" style="1" customWidth="1"/>
    <col min="8678" max="8678" width="18" style="1" bestFit="1" customWidth="1"/>
    <col min="8679" max="8681" width="18" style="1" customWidth="1"/>
    <col min="8682" max="8682" width="6.28515625" style="1" customWidth="1"/>
    <col min="8683" max="8687" width="18" style="1" customWidth="1"/>
    <col min="8688" max="8688" width="12.7109375" style="1" customWidth="1"/>
    <col min="8689" max="8692" width="18.5703125" style="1" customWidth="1"/>
    <col min="8693" max="8693" width="17.85546875" style="1" customWidth="1"/>
    <col min="8694" max="8932" width="9.140625" style="1"/>
    <col min="8933" max="8933" width="18" style="1" customWidth="1"/>
    <col min="8934" max="8934" width="18" style="1" bestFit="1" customWidth="1"/>
    <col min="8935" max="8937" width="18" style="1" customWidth="1"/>
    <col min="8938" max="8938" width="6.28515625" style="1" customWidth="1"/>
    <col min="8939" max="8943" width="18" style="1" customWidth="1"/>
    <col min="8944" max="8944" width="12.7109375" style="1" customWidth="1"/>
    <col min="8945" max="8948" width="18.5703125" style="1" customWidth="1"/>
    <col min="8949" max="8949" width="17.85546875" style="1" customWidth="1"/>
    <col min="8950" max="9188" width="9.140625" style="1"/>
    <col min="9189" max="9189" width="18" style="1" customWidth="1"/>
    <col min="9190" max="9190" width="18" style="1" bestFit="1" customWidth="1"/>
    <col min="9191" max="9193" width="18" style="1" customWidth="1"/>
    <col min="9194" max="9194" width="6.28515625" style="1" customWidth="1"/>
    <col min="9195" max="9199" width="18" style="1" customWidth="1"/>
    <col min="9200" max="9200" width="12.7109375" style="1" customWidth="1"/>
    <col min="9201" max="9204" width="18.5703125" style="1" customWidth="1"/>
    <col min="9205" max="9205" width="17.85546875" style="1" customWidth="1"/>
    <col min="9206" max="9444" width="9.140625" style="1"/>
    <col min="9445" max="9445" width="18" style="1" customWidth="1"/>
    <col min="9446" max="9446" width="18" style="1" bestFit="1" customWidth="1"/>
    <col min="9447" max="9449" width="18" style="1" customWidth="1"/>
    <col min="9450" max="9450" width="6.28515625" style="1" customWidth="1"/>
    <col min="9451" max="9455" width="18" style="1" customWidth="1"/>
    <col min="9456" max="9456" width="12.7109375" style="1" customWidth="1"/>
    <col min="9457" max="9460" width="18.5703125" style="1" customWidth="1"/>
    <col min="9461" max="9461" width="17.85546875" style="1" customWidth="1"/>
    <col min="9462" max="9700" width="9.140625" style="1"/>
    <col min="9701" max="9701" width="18" style="1" customWidth="1"/>
    <col min="9702" max="9702" width="18" style="1" bestFit="1" customWidth="1"/>
    <col min="9703" max="9705" width="18" style="1" customWidth="1"/>
    <col min="9706" max="9706" width="6.28515625" style="1" customWidth="1"/>
    <col min="9707" max="9711" width="18" style="1" customWidth="1"/>
    <col min="9712" max="9712" width="12.7109375" style="1" customWidth="1"/>
    <col min="9713" max="9716" width="18.5703125" style="1" customWidth="1"/>
    <col min="9717" max="9717" width="17.85546875" style="1" customWidth="1"/>
    <col min="9718" max="9956" width="9.140625" style="1"/>
    <col min="9957" max="9957" width="18" style="1" customWidth="1"/>
    <col min="9958" max="9958" width="18" style="1" bestFit="1" customWidth="1"/>
    <col min="9959" max="9961" width="18" style="1" customWidth="1"/>
    <col min="9962" max="9962" width="6.28515625" style="1" customWidth="1"/>
    <col min="9963" max="9967" width="18" style="1" customWidth="1"/>
    <col min="9968" max="9968" width="12.7109375" style="1" customWidth="1"/>
    <col min="9969" max="9972" width="18.5703125" style="1" customWidth="1"/>
    <col min="9973" max="9973" width="17.85546875" style="1" customWidth="1"/>
    <col min="9974" max="10212" width="9.140625" style="1"/>
    <col min="10213" max="10213" width="18" style="1" customWidth="1"/>
    <col min="10214" max="10214" width="18" style="1" bestFit="1" customWidth="1"/>
    <col min="10215" max="10217" width="18" style="1" customWidth="1"/>
    <col min="10218" max="10218" width="6.28515625" style="1" customWidth="1"/>
    <col min="10219" max="10223" width="18" style="1" customWidth="1"/>
    <col min="10224" max="10224" width="12.7109375" style="1" customWidth="1"/>
    <col min="10225" max="10228" width="18.5703125" style="1" customWidth="1"/>
    <col min="10229" max="10229" width="17.85546875" style="1" customWidth="1"/>
    <col min="10230" max="10468" width="9.140625" style="1"/>
    <col min="10469" max="10469" width="18" style="1" customWidth="1"/>
    <col min="10470" max="10470" width="18" style="1" bestFit="1" customWidth="1"/>
    <col min="10471" max="10473" width="18" style="1" customWidth="1"/>
    <col min="10474" max="10474" width="6.28515625" style="1" customWidth="1"/>
    <col min="10475" max="10479" width="18" style="1" customWidth="1"/>
    <col min="10480" max="10480" width="12.7109375" style="1" customWidth="1"/>
    <col min="10481" max="10484" width="18.5703125" style="1" customWidth="1"/>
    <col min="10485" max="10485" width="17.85546875" style="1" customWidth="1"/>
    <col min="10486" max="10724" width="9.140625" style="1"/>
    <col min="10725" max="10725" width="18" style="1" customWidth="1"/>
    <col min="10726" max="10726" width="18" style="1" bestFit="1" customWidth="1"/>
    <col min="10727" max="10729" width="18" style="1" customWidth="1"/>
    <col min="10730" max="10730" width="6.28515625" style="1" customWidth="1"/>
    <col min="10731" max="10735" width="18" style="1" customWidth="1"/>
    <col min="10736" max="10736" width="12.7109375" style="1" customWidth="1"/>
    <col min="10737" max="10740" width="18.5703125" style="1" customWidth="1"/>
    <col min="10741" max="10741" width="17.85546875" style="1" customWidth="1"/>
    <col min="10742" max="10980" width="9.140625" style="1"/>
    <col min="10981" max="10981" width="18" style="1" customWidth="1"/>
    <col min="10982" max="10982" width="18" style="1" bestFit="1" customWidth="1"/>
    <col min="10983" max="10985" width="18" style="1" customWidth="1"/>
    <col min="10986" max="10986" width="6.28515625" style="1" customWidth="1"/>
    <col min="10987" max="10991" width="18" style="1" customWidth="1"/>
    <col min="10992" max="10992" width="12.7109375" style="1" customWidth="1"/>
    <col min="10993" max="10996" width="18.5703125" style="1" customWidth="1"/>
    <col min="10997" max="10997" width="17.85546875" style="1" customWidth="1"/>
    <col min="10998" max="11236" width="9.140625" style="1"/>
    <col min="11237" max="11237" width="18" style="1" customWidth="1"/>
    <col min="11238" max="11238" width="18" style="1" bestFit="1" customWidth="1"/>
    <col min="11239" max="11241" width="18" style="1" customWidth="1"/>
    <col min="11242" max="11242" width="6.28515625" style="1" customWidth="1"/>
    <col min="11243" max="11247" width="18" style="1" customWidth="1"/>
    <col min="11248" max="11248" width="12.7109375" style="1" customWidth="1"/>
    <col min="11249" max="11252" width="18.5703125" style="1" customWidth="1"/>
    <col min="11253" max="11253" width="17.85546875" style="1" customWidth="1"/>
    <col min="11254" max="11492" width="9.140625" style="1"/>
    <col min="11493" max="11493" width="18" style="1" customWidth="1"/>
    <col min="11494" max="11494" width="18" style="1" bestFit="1" customWidth="1"/>
    <col min="11495" max="11497" width="18" style="1" customWidth="1"/>
    <col min="11498" max="11498" width="6.28515625" style="1" customWidth="1"/>
    <col min="11499" max="11503" width="18" style="1" customWidth="1"/>
    <col min="11504" max="11504" width="12.7109375" style="1" customWidth="1"/>
    <col min="11505" max="11508" width="18.5703125" style="1" customWidth="1"/>
    <col min="11509" max="11509" width="17.85546875" style="1" customWidth="1"/>
    <col min="11510" max="11748" width="9.140625" style="1"/>
    <col min="11749" max="11749" width="18" style="1" customWidth="1"/>
    <col min="11750" max="11750" width="18" style="1" bestFit="1" customWidth="1"/>
    <col min="11751" max="11753" width="18" style="1" customWidth="1"/>
    <col min="11754" max="11754" width="6.28515625" style="1" customWidth="1"/>
    <col min="11755" max="11759" width="18" style="1" customWidth="1"/>
    <col min="11760" max="11760" width="12.7109375" style="1" customWidth="1"/>
    <col min="11761" max="11764" width="18.5703125" style="1" customWidth="1"/>
    <col min="11765" max="11765" width="17.85546875" style="1" customWidth="1"/>
    <col min="11766" max="12004" width="9.140625" style="1"/>
    <col min="12005" max="12005" width="18" style="1" customWidth="1"/>
    <col min="12006" max="12006" width="18" style="1" bestFit="1" customWidth="1"/>
    <col min="12007" max="12009" width="18" style="1" customWidth="1"/>
    <col min="12010" max="12010" width="6.28515625" style="1" customWidth="1"/>
    <col min="12011" max="12015" width="18" style="1" customWidth="1"/>
    <col min="12016" max="12016" width="12.7109375" style="1" customWidth="1"/>
    <col min="12017" max="12020" width="18.5703125" style="1" customWidth="1"/>
    <col min="12021" max="12021" width="17.85546875" style="1" customWidth="1"/>
    <col min="12022" max="12260" width="9.140625" style="1"/>
    <col min="12261" max="12261" width="18" style="1" customWidth="1"/>
    <col min="12262" max="12262" width="18" style="1" bestFit="1" customWidth="1"/>
    <col min="12263" max="12265" width="18" style="1" customWidth="1"/>
    <col min="12266" max="12266" width="6.28515625" style="1" customWidth="1"/>
    <col min="12267" max="12271" width="18" style="1" customWidth="1"/>
    <col min="12272" max="12272" width="12.7109375" style="1" customWidth="1"/>
    <col min="12273" max="12276" width="18.5703125" style="1" customWidth="1"/>
    <col min="12277" max="12277" width="17.85546875" style="1" customWidth="1"/>
    <col min="12278" max="12516" width="9.140625" style="1"/>
    <col min="12517" max="12517" width="18" style="1" customWidth="1"/>
    <col min="12518" max="12518" width="18" style="1" bestFit="1" customWidth="1"/>
    <col min="12519" max="12521" width="18" style="1" customWidth="1"/>
    <col min="12522" max="12522" width="6.28515625" style="1" customWidth="1"/>
    <col min="12523" max="12527" width="18" style="1" customWidth="1"/>
    <col min="12528" max="12528" width="12.7109375" style="1" customWidth="1"/>
    <col min="12529" max="12532" width="18.5703125" style="1" customWidth="1"/>
    <col min="12533" max="12533" width="17.85546875" style="1" customWidth="1"/>
    <col min="12534" max="12772" width="9.140625" style="1"/>
    <col min="12773" max="12773" width="18" style="1" customWidth="1"/>
    <col min="12774" max="12774" width="18" style="1" bestFit="1" customWidth="1"/>
    <col min="12775" max="12777" width="18" style="1" customWidth="1"/>
    <col min="12778" max="12778" width="6.28515625" style="1" customWidth="1"/>
    <col min="12779" max="12783" width="18" style="1" customWidth="1"/>
    <col min="12784" max="12784" width="12.7109375" style="1" customWidth="1"/>
    <col min="12785" max="12788" width="18.5703125" style="1" customWidth="1"/>
    <col min="12789" max="12789" width="17.85546875" style="1" customWidth="1"/>
    <col min="12790" max="13028" width="9.140625" style="1"/>
    <col min="13029" max="13029" width="18" style="1" customWidth="1"/>
    <col min="13030" max="13030" width="18" style="1" bestFit="1" customWidth="1"/>
    <col min="13031" max="13033" width="18" style="1" customWidth="1"/>
    <col min="13034" max="13034" width="6.28515625" style="1" customWidth="1"/>
    <col min="13035" max="13039" width="18" style="1" customWidth="1"/>
    <col min="13040" max="13040" width="12.7109375" style="1" customWidth="1"/>
    <col min="13041" max="13044" width="18.5703125" style="1" customWidth="1"/>
    <col min="13045" max="13045" width="17.85546875" style="1" customWidth="1"/>
    <col min="13046" max="13284" width="9.140625" style="1"/>
    <col min="13285" max="13285" width="18" style="1" customWidth="1"/>
    <col min="13286" max="13286" width="18" style="1" bestFit="1" customWidth="1"/>
    <col min="13287" max="13289" width="18" style="1" customWidth="1"/>
    <col min="13290" max="13290" width="6.28515625" style="1" customWidth="1"/>
    <col min="13291" max="13295" width="18" style="1" customWidth="1"/>
    <col min="13296" max="13296" width="12.7109375" style="1" customWidth="1"/>
    <col min="13297" max="13300" width="18.5703125" style="1" customWidth="1"/>
    <col min="13301" max="13301" width="17.85546875" style="1" customWidth="1"/>
    <col min="13302" max="13540" width="9.140625" style="1"/>
    <col min="13541" max="13541" width="18" style="1" customWidth="1"/>
    <col min="13542" max="13542" width="18" style="1" bestFit="1" customWidth="1"/>
    <col min="13543" max="13545" width="18" style="1" customWidth="1"/>
    <col min="13546" max="13546" width="6.28515625" style="1" customWidth="1"/>
    <col min="13547" max="13551" width="18" style="1" customWidth="1"/>
    <col min="13552" max="13552" width="12.7109375" style="1" customWidth="1"/>
    <col min="13553" max="13556" width="18.5703125" style="1" customWidth="1"/>
    <col min="13557" max="13557" width="17.85546875" style="1" customWidth="1"/>
    <col min="13558" max="13796" width="9.140625" style="1"/>
    <col min="13797" max="13797" width="18" style="1" customWidth="1"/>
    <col min="13798" max="13798" width="18" style="1" bestFit="1" customWidth="1"/>
    <col min="13799" max="13801" width="18" style="1" customWidth="1"/>
    <col min="13802" max="13802" width="6.28515625" style="1" customWidth="1"/>
    <col min="13803" max="13807" width="18" style="1" customWidth="1"/>
    <col min="13808" max="13808" width="12.7109375" style="1" customWidth="1"/>
    <col min="13809" max="13812" width="18.5703125" style="1" customWidth="1"/>
    <col min="13813" max="13813" width="17.85546875" style="1" customWidth="1"/>
    <col min="13814" max="14052" width="9.140625" style="1"/>
    <col min="14053" max="14053" width="18" style="1" customWidth="1"/>
    <col min="14054" max="14054" width="18" style="1" bestFit="1" customWidth="1"/>
    <col min="14055" max="14057" width="18" style="1" customWidth="1"/>
    <col min="14058" max="14058" width="6.28515625" style="1" customWidth="1"/>
    <col min="14059" max="14063" width="18" style="1" customWidth="1"/>
    <col min="14064" max="14064" width="12.7109375" style="1" customWidth="1"/>
    <col min="14065" max="14068" width="18.5703125" style="1" customWidth="1"/>
    <col min="14069" max="14069" width="17.85546875" style="1" customWidth="1"/>
    <col min="14070" max="14308" width="9.140625" style="1"/>
    <col min="14309" max="14309" width="18" style="1" customWidth="1"/>
    <col min="14310" max="14310" width="18" style="1" bestFit="1" customWidth="1"/>
    <col min="14311" max="14313" width="18" style="1" customWidth="1"/>
    <col min="14314" max="14314" width="6.28515625" style="1" customWidth="1"/>
    <col min="14315" max="14319" width="18" style="1" customWidth="1"/>
    <col min="14320" max="14320" width="12.7109375" style="1" customWidth="1"/>
    <col min="14321" max="14324" width="18.5703125" style="1" customWidth="1"/>
    <col min="14325" max="14325" width="17.85546875" style="1" customWidth="1"/>
    <col min="14326" max="14564" width="9.140625" style="1"/>
    <col min="14565" max="14565" width="18" style="1" customWidth="1"/>
    <col min="14566" max="14566" width="18" style="1" bestFit="1" customWidth="1"/>
    <col min="14567" max="14569" width="18" style="1" customWidth="1"/>
    <col min="14570" max="14570" width="6.28515625" style="1" customWidth="1"/>
    <col min="14571" max="14575" width="18" style="1" customWidth="1"/>
    <col min="14576" max="14576" width="12.7109375" style="1" customWidth="1"/>
    <col min="14577" max="14580" width="18.5703125" style="1" customWidth="1"/>
    <col min="14581" max="14581" width="17.85546875" style="1" customWidth="1"/>
    <col min="14582" max="14820" width="9.140625" style="1"/>
    <col min="14821" max="14821" width="18" style="1" customWidth="1"/>
    <col min="14822" max="14822" width="18" style="1" bestFit="1" customWidth="1"/>
    <col min="14823" max="14825" width="18" style="1" customWidth="1"/>
    <col min="14826" max="14826" width="6.28515625" style="1" customWidth="1"/>
    <col min="14827" max="14831" width="18" style="1" customWidth="1"/>
    <col min="14832" max="14832" width="12.7109375" style="1" customWidth="1"/>
    <col min="14833" max="14836" width="18.5703125" style="1" customWidth="1"/>
    <col min="14837" max="14837" width="17.85546875" style="1" customWidth="1"/>
    <col min="14838" max="15076" width="9.140625" style="1"/>
    <col min="15077" max="15077" width="18" style="1" customWidth="1"/>
    <col min="15078" max="15078" width="18" style="1" bestFit="1" customWidth="1"/>
    <col min="15079" max="15081" width="18" style="1" customWidth="1"/>
    <col min="15082" max="15082" width="6.28515625" style="1" customWidth="1"/>
    <col min="15083" max="15087" width="18" style="1" customWidth="1"/>
    <col min="15088" max="15088" width="12.7109375" style="1" customWidth="1"/>
    <col min="15089" max="15092" width="18.5703125" style="1" customWidth="1"/>
    <col min="15093" max="15093" width="17.85546875" style="1" customWidth="1"/>
    <col min="15094" max="15332" width="9.140625" style="1"/>
    <col min="15333" max="15333" width="18" style="1" customWidth="1"/>
    <col min="15334" max="15334" width="18" style="1" bestFit="1" customWidth="1"/>
    <col min="15335" max="15337" width="18" style="1" customWidth="1"/>
    <col min="15338" max="15338" width="6.28515625" style="1" customWidth="1"/>
    <col min="15339" max="15343" width="18" style="1" customWidth="1"/>
    <col min="15344" max="15344" width="12.7109375" style="1" customWidth="1"/>
    <col min="15345" max="15348" width="18.5703125" style="1" customWidth="1"/>
    <col min="15349" max="15349" width="17.85546875" style="1" customWidth="1"/>
    <col min="15350" max="15588" width="9.140625" style="1"/>
    <col min="15589" max="15589" width="18" style="1" customWidth="1"/>
    <col min="15590" max="15590" width="18" style="1" bestFit="1" customWidth="1"/>
    <col min="15591" max="15593" width="18" style="1" customWidth="1"/>
    <col min="15594" max="15594" width="6.28515625" style="1" customWidth="1"/>
    <col min="15595" max="15599" width="18" style="1" customWidth="1"/>
    <col min="15600" max="15600" width="12.7109375" style="1" customWidth="1"/>
    <col min="15601" max="15604" width="18.5703125" style="1" customWidth="1"/>
    <col min="15605" max="15605" width="17.85546875" style="1" customWidth="1"/>
    <col min="15606" max="15844" width="9.140625" style="1"/>
    <col min="15845" max="15845" width="18" style="1" customWidth="1"/>
    <col min="15846" max="15846" width="18" style="1" bestFit="1" customWidth="1"/>
    <col min="15847" max="15849" width="18" style="1" customWidth="1"/>
    <col min="15850" max="15850" width="6.28515625" style="1" customWidth="1"/>
    <col min="15851" max="15855" width="18" style="1" customWidth="1"/>
    <col min="15856" max="15856" width="12.7109375" style="1" customWidth="1"/>
    <col min="15857" max="15860" width="18.5703125" style="1" customWidth="1"/>
    <col min="15861" max="15861" width="17.85546875" style="1" customWidth="1"/>
    <col min="15862" max="16100" width="9.140625" style="1"/>
    <col min="16101" max="16101" width="18" style="1" customWidth="1"/>
    <col min="16102" max="16102" width="18" style="1" bestFit="1" customWidth="1"/>
    <col min="16103" max="16105" width="18" style="1" customWidth="1"/>
    <col min="16106" max="16106" width="6.28515625" style="1" customWidth="1"/>
    <col min="16107" max="16111" width="18" style="1" customWidth="1"/>
    <col min="16112" max="16112" width="12.7109375" style="1" customWidth="1"/>
    <col min="16113" max="16116" width="18.5703125" style="1" customWidth="1"/>
    <col min="16117" max="16117" width="17.85546875" style="1" customWidth="1"/>
    <col min="16118" max="16384" width="9.140625" style="1"/>
  </cols>
  <sheetData>
    <row r="1" spans="1:13" hidden="1" x14ac:dyDescent="0.25">
      <c r="A1" s="1"/>
    </row>
    <row r="2" spans="1:13" ht="18" hidden="1" customHeight="1" x14ac:dyDescent="0.35">
      <c r="A2" s="1"/>
      <c r="B2" s="55" t="s">
        <v>0</v>
      </c>
      <c r="C2" s="55"/>
      <c r="D2" s="55"/>
      <c r="E2" s="55"/>
      <c r="F2" s="55"/>
      <c r="H2" s="55" t="s">
        <v>0</v>
      </c>
      <c r="I2" s="55"/>
      <c r="J2" s="55"/>
      <c r="K2" s="55"/>
      <c r="L2" s="55"/>
      <c r="M2" s="55"/>
    </row>
    <row r="3" spans="1:13" ht="16.5" hidden="1" customHeight="1" x14ac:dyDescent="0.3">
      <c r="A3" s="1"/>
      <c r="B3" s="3"/>
      <c r="C3" s="3"/>
      <c r="D3" s="3"/>
      <c r="E3" s="3"/>
      <c r="F3" s="3"/>
      <c r="H3" s="3"/>
      <c r="I3" s="3"/>
      <c r="J3" s="3"/>
      <c r="K3" s="51"/>
      <c r="L3" s="3"/>
      <c r="M3" s="3"/>
    </row>
    <row r="4" spans="1:13" ht="16.5" hidden="1" customHeight="1" x14ac:dyDescent="0.3">
      <c r="A4" s="1"/>
      <c r="B4" s="53" t="s">
        <v>1</v>
      </c>
      <c r="C4" s="53"/>
      <c r="D4" s="53"/>
      <c r="E4" s="53"/>
      <c r="F4" s="53"/>
      <c r="H4" s="53" t="s">
        <v>1</v>
      </c>
      <c r="I4" s="53"/>
      <c r="J4" s="53"/>
      <c r="K4" s="53"/>
      <c r="L4" s="53"/>
      <c r="M4" s="53"/>
    </row>
    <row r="5" spans="1:13" ht="14.1" hidden="1" customHeight="1" x14ac:dyDescent="0.25">
      <c r="A5" s="1"/>
      <c r="F5" s="4"/>
      <c r="M5" s="4"/>
    </row>
    <row r="6" spans="1:13" ht="14.1" hidden="1" customHeight="1" x14ac:dyDescent="0.25">
      <c r="A6" s="1"/>
      <c r="B6" s="54" t="s">
        <v>2</v>
      </c>
      <c r="C6" s="54"/>
      <c r="H6" s="54" t="s">
        <v>52</v>
      </c>
      <c r="I6" s="54"/>
    </row>
    <row r="7" spans="1:13" ht="14.1" hidden="1" customHeight="1" x14ac:dyDescent="0.25">
      <c r="A7" s="1"/>
    </row>
    <row r="8" spans="1:13" ht="14.1" hidden="1" customHeight="1" x14ac:dyDescent="0.25">
      <c r="A8" s="1"/>
      <c r="B8" s="5"/>
      <c r="C8" s="6">
        <v>42583</v>
      </c>
      <c r="D8" s="6">
        <v>42948</v>
      </c>
      <c r="E8" s="5" t="s">
        <v>3</v>
      </c>
      <c r="F8" s="5" t="s">
        <v>4</v>
      </c>
      <c r="H8" s="5"/>
      <c r="I8" s="6">
        <f>+D8</f>
        <v>42948</v>
      </c>
      <c r="J8" s="6">
        <v>43191</v>
      </c>
      <c r="K8" s="6"/>
      <c r="L8" s="5" t="s">
        <v>3</v>
      </c>
      <c r="M8" s="5" t="s">
        <v>4</v>
      </c>
    </row>
    <row r="9" spans="1:13" ht="14.1" hidden="1" customHeight="1" x14ac:dyDescent="0.25">
      <c r="A9" s="1"/>
      <c r="B9" s="7" t="s">
        <v>5</v>
      </c>
      <c r="C9" s="7" t="s">
        <v>6</v>
      </c>
      <c r="D9" s="7" t="s">
        <v>6</v>
      </c>
      <c r="E9" s="7" t="s">
        <v>7</v>
      </c>
      <c r="F9" s="7" t="s">
        <v>8</v>
      </c>
      <c r="H9" s="7" t="s">
        <v>5</v>
      </c>
      <c r="I9" s="7" t="s">
        <v>6</v>
      </c>
      <c r="J9" s="7" t="s">
        <v>6</v>
      </c>
      <c r="K9" s="7"/>
      <c r="L9" s="7" t="s">
        <v>7</v>
      </c>
      <c r="M9" s="7" t="s">
        <v>8</v>
      </c>
    </row>
    <row r="10" spans="1:13" ht="14.1" hidden="1" customHeight="1" x14ac:dyDescent="0.25">
      <c r="A10" s="1"/>
      <c r="B10" s="8">
        <v>250</v>
      </c>
      <c r="C10" s="9">
        <f>ROUND(7.82+B10*0.0793,2)</f>
        <v>27.65</v>
      </c>
      <c r="D10" s="9">
        <f>ROUND(8.08+B10*0.08196,2)</f>
        <v>28.57</v>
      </c>
      <c r="E10" s="9">
        <f>+D10-C10</f>
        <v>0.92000000000000171</v>
      </c>
      <c r="F10" s="10">
        <f>+E10/C10</f>
        <v>3.3273056057866249E-2</v>
      </c>
      <c r="G10" s="11"/>
      <c r="H10" s="8">
        <f>+B10</f>
        <v>250</v>
      </c>
      <c r="I10" s="9">
        <f>+D10</f>
        <v>28.57</v>
      </c>
      <c r="J10" s="9">
        <f>ROUND(8.72+H10*0.08843,2)</f>
        <v>30.83</v>
      </c>
      <c r="K10" s="9"/>
      <c r="L10" s="9">
        <f>+J10-I10</f>
        <v>2.259999999999998</v>
      </c>
      <c r="M10" s="10">
        <f>+L10/I10</f>
        <v>7.9103955197759812E-2</v>
      </c>
    </row>
    <row r="11" spans="1:13" ht="14.1" hidden="1" customHeight="1" x14ac:dyDescent="0.25">
      <c r="A11" s="1"/>
      <c r="B11" s="8">
        <v>750</v>
      </c>
      <c r="C11" s="9">
        <f t="shared" ref="C11:C14" si="0">ROUND(7.82+B11*0.0793,2)</f>
        <v>67.3</v>
      </c>
      <c r="D11" s="9">
        <f>ROUND(8.08+B11*0.08196,2)</f>
        <v>69.55</v>
      </c>
      <c r="E11" s="9">
        <f>+D11-C11</f>
        <v>2.25</v>
      </c>
      <c r="F11" s="10">
        <f>+E11/C11</f>
        <v>3.3432392273402674E-2</v>
      </c>
      <c r="H11" s="8">
        <f>+B11</f>
        <v>750</v>
      </c>
      <c r="I11" s="9">
        <f>+D11</f>
        <v>69.55</v>
      </c>
      <c r="J11" s="9">
        <f>ROUND(8.72+H11*0.08843,2)</f>
        <v>75.040000000000006</v>
      </c>
      <c r="K11" s="9"/>
      <c r="L11" s="9">
        <f>+J11-I11</f>
        <v>5.4900000000000091</v>
      </c>
      <c r="M11" s="10">
        <f>+L11/I11</f>
        <v>7.8936017253774401E-2</v>
      </c>
    </row>
    <row r="12" spans="1:13" ht="14.1" hidden="1" customHeight="1" x14ac:dyDescent="0.25">
      <c r="A12" s="1"/>
      <c r="B12" s="8">
        <v>1000</v>
      </c>
      <c r="C12" s="9">
        <f t="shared" si="0"/>
        <v>87.12</v>
      </c>
      <c r="D12" s="9">
        <f>ROUND(8.08+B12*0.08196,2)</f>
        <v>90.04</v>
      </c>
      <c r="E12" s="9">
        <f>+D12-C12</f>
        <v>2.9200000000000017</v>
      </c>
      <c r="F12" s="10">
        <f>+E12/C12</f>
        <v>3.3516988062442625E-2</v>
      </c>
      <c r="H12" s="8">
        <f>+B12</f>
        <v>1000</v>
      </c>
      <c r="I12" s="9">
        <f>+D12</f>
        <v>90.04</v>
      </c>
      <c r="J12" s="9">
        <f>ROUND(8.72+H12*0.08843,2)</f>
        <v>97.15</v>
      </c>
      <c r="K12" s="9"/>
      <c r="L12" s="9">
        <f>+J12-I12</f>
        <v>7.1099999999999994</v>
      </c>
      <c r="M12" s="10">
        <f>+L12/I12</f>
        <v>7.8964904486894708E-2</v>
      </c>
    </row>
    <row r="13" spans="1:13" ht="14.1" hidden="1" customHeight="1" x14ac:dyDescent="0.25">
      <c r="A13" s="1"/>
      <c r="B13" s="8">
        <v>2000</v>
      </c>
      <c r="C13" s="9">
        <f t="shared" si="0"/>
        <v>166.42</v>
      </c>
      <c r="D13" s="9">
        <f>ROUND(8.08+B13*0.08196,2)</f>
        <v>172</v>
      </c>
      <c r="E13" s="9">
        <f>+D13-C13</f>
        <v>5.5800000000000125</v>
      </c>
      <c r="F13" s="10">
        <f>+E13/C13</f>
        <v>3.3529623843288142E-2</v>
      </c>
      <c r="H13" s="8">
        <f>+B13</f>
        <v>2000</v>
      </c>
      <c r="I13" s="9">
        <f>+D13</f>
        <v>172</v>
      </c>
      <c r="J13" s="9">
        <f>ROUND(8.72+H13*0.08843,2)</f>
        <v>185.58</v>
      </c>
      <c r="K13" s="9"/>
      <c r="L13" s="9">
        <f>+J13-I13</f>
        <v>13.580000000000013</v>
      </c>
      <c r="M13" s="10">
        <f>+L13/I13</f>
        <v>7.8953488372093095E-2</v>
      </c>
    </row>
    <row r="14" spans="1:13" ht="14.1" hidden="1" customHeight="1" x14ac:dyDescent="0.25">
      <c r="A14" s="1"/>
      <c r="B14" s="8">
        <v>5000</v>
      </c>
      <c r="C14" s="9">
        <f t="shared" si="0"/>
        <v>404.32</v>
      </c>
      <c r="D14" s="9">
        <f>ROUND(8.08+B14*0.08196,2)</f>
        <v>417.88</v>
      </c>
      <c r="E14" s="9">
        <f>+D14-C14</f>
        <v>13.560000000000002</v>
      </c>
      <c r="F14" s="10">
        <f>+E14/C14</f>
        <v>3.3537791848041162E-2</v>
      </c>
      <c r="H14" s="8">
        <f>+B14</f>
        <v>5000</v>
      </c>
      <c r="I14" s="9">
        <f>+D14</f>
        <v>417.88</v>
      </c>
      <c r="J14" s="9">
        <f>ROUND(8.72+H14*0.08843,2)</f>
        <v>450.87</v>
      </c>
      <c r="K14" s="9"/>
      <c r="L14" s="9">
        <f>+J14-I14</f>
        <v>32.990000000000009</v>
      </c>
      <c r="M14" s="10">
        <f>+L14/I14</f>
        <v>7.8946108930793554E-2</v>
      </c>
    </row>
    <row r="15" spans="1:13" ht="14.1" hidden="1" customHeight="1" x14ac:dyDescent="0.25">
      <c r="A15" s="1"/>
      <c r="B15" s="12"/>
      <c r="C15" s="13"/>
      <c r="D15" s="13"/>
      <c r="E15" s="13"/>
      <c r="F15" s="14"/>
      <c r="H15" s="15"/>
      <c r="I15" s="11"/>
      <c r="J15" s="11"/>
      <c r="K15" s="11"/>
      <c r="L15" s="11"/>
      <c r="M15" s="16"/>
    </row>
    <row r="16" spans="1:13" ht="14.1" hidden="1" customHeight="1" x14ac:dyDescent="0.25">
      <c r="A16" s="1"/>
      <c r="B16" s="15"/>
      <c r="C16" s="11"/>
      <c r="D16" s="11"/>
      <c r="E16" s="16"/>
      <c r="F16" s="16"/>
      <c r="H16" s="15"/>
      <c r="I16" s="11"/>
      <c r="J16" s="11"/>
      <c r="K16" s="11"/>
      <c r="L16" s="11"/>
      <c r="M16" s="16"/>
    </row>
    <row r="17" spans="1:13" ht="16.5" hidden="1" customHeight="1" x14ac:dyDescent="0.3">
      <c r="A17" s="1"/>
      <c r="B17" s="53" t="s">
        <v>1</v>
      </c>
      <c r="C17" s="53"/>
      <c r="D17" s="53"/>
      <c r="E17" s="53"/>
      <c r="F17" s="53"/>
      <c r="H17" s="53" t="s">
        <v>1</v>
      </c>
      <c r="I17" s="53"/>
      <c r="J17" s="53"/>
      <c r="K17" s="53"/>
      <c r="L17" s="53"/>
      <c r="M17" s="53"/>
    </row>
    <row r="18" spans="1:13" ht="15.75" hidden="1" customHeight="1" x14ac:dyDescent="0.3">
      <c r="A18" s="1"/>
      <c r="B18" s="53" t="s">
        <v>9</v>
      </c>
      <c r="C18" s="53"/>
      <c r="D18" s="53"/>
      <c r="E18" s="53"/>
      <c r="F18" s="53"/>
      <c r="H18" s="53" t="s">
        <v>9</v>
      </c>
      <c r="I18" s="53"/>
      <c r="J18" s="53"/>
      <c r="K18" s="53"/>
      <c r="L18" s="53"/>
      <c r="M18" s="53"/>
    </row>
    <row r="19" spans="1:13" ht="14.1" hidden="1" customHeight="1" x14ac:dyDescent="0.25">
      <c r="A19" s="1"/>
      <c r="B19" s="54" t="s">
        <v>10</v>
      </c>
      <c r="C19" s="54"/>
      <c r="H19" s="54" t="s">
        <v>53</v>
      </c>
      <c r="I19" s="54"/>
    </row>
    <row r="20" spans="1:13" ht="14.1" hidden="1" customHeight="1" x14ac:dyDescent="0.25">
      <c r="A20" s="1"/>
    </row>
    <row r="21" spans="1:13" ht="14.1" hidden="1" customHeight="1" x14ac:dyDescent="0.25">
      <c r="A21" s="1"/>
      <c r="B21" s="5"/>
      <c r="C21" s="6">
        <f>+$C$8</f>
        <v>42583</v>
      </c>
      <c r="D21" s="6">
        <f>+$D$8</f>
        <v>42948</v>
      </c>
      <c r="E21" s="5" t="s">
        <v>3</v>
      </c>
      <c r="F21" s="5" t="s">
        <v>4</v>
      </c>
      <c r="H21" s="5"/>
      <c r="I21" s="6">
        <f>+$I$8</f>
        <v>42948</v>
      </c>
      <c r="J21" s="6">
        <f>+$J$8</f>
        <v>43191</v>
      </c>
      <c r="K21" s="6"/>
      <c r="L21" s="5" t="s">
        <v>3</v>
      </c>
      <c r="M21" s="5" t="s">
        <v>4</v>
      </c>
    </row>
    <row r="22" spans="1:13" ht="14.1" hidden="1" customHeight="1" x14ac:dyDescent="0.25">
      <c r="A22" s="1"/>
      <c r="B22" s="7" t="s">
        <v>5</v>
      </c>
      <c r="C22" s="7" t="s">
        <v>11</v>
      </c>
      <c r="D22" s="7" t="s">
        <v>11</v>
      </c>
      <c r="E22" s="7" t="s">
        <v>12</v>
      </c>
      <c r="F22" s="7" t="s">
        <v>8</v>
      </c>
      <c r="H22" s="7" t="s">
        <v>5</v>
      </c>
      <c r="I22" s="7" t="s">
        <v>11</v>
      </c>
      <c r="J22" s="7" t="s">
        <v>11</v>
      </c>
      <c r="K22" s="7"/>
      <c r="L22" s="7" t="s">
        <v>12</v>
      </c>
      <c r="M22" s="7" t="s">
        <v>8</v>
      </c>
    </row>
    <row r="23" spans="1:13" ht="14.1" hidden="1" customHeight="1" x14ac:dyDescent="0.25">
      <c r="A23" s="1"/>
      <c r="B23" s="8">
        <v>250</v>
      </c>
      <c r="C23" s="9">
        <f>ROUND(93.84+B23*0.0793,2)</f>
        <v>113.67</v>
      </c>
      <c r="D23" s="9">
        <f>ROUND(96.96+B23*0.08196,2)</f>
        <v>117.45</v>
      </c>
      <c r="E23" s="9">
        <f>+D23-C23</f>
        <v>3.7800000000000011</v>
      </c>
      <c r="F23" s="10">
        <f>+E23/C23</f>
        <v>3.3254156769596206E-2</v>
      </c>
      <c r="H23" s="8">
        <f>+B23</f>
        <v>250</v>
      </c>
      <c r="I23" s="9">
        <f>+D23</f>
        <v>117.45</v>
      </c>
      <c r="J23" s="9">
        <f>ROUND(104.64+H23*0.08843,2)</f>
        <v>126.75</v>
      </c>
      <c r="K23" s="9"/>
      <c r="L23" s="9">
        <f>+J23-I23</f>
        <v>9.2999999999999972</v>
      </c>
      <c r="M23" s="10">
        <f>+L23/I23</f>
        <v>7.9182630906768817E-2</v>
      </c>
    </row>
    <row r="24" spans="1:13" ht="14.1" hidden="1" customHeight="1" x14ac:dyDescent="0.25">
      <c r="A24" s="1"/>
      <c r="B24" s="8">
        <v>750</v>
      </c>
      <c r="C24" s="9">
        <f t="shared" ref="C24:C27" si="1">ROUND(93.84+B24*0.0793,2)</f>
        <v>153.32</v>
      </c>
      <c r="D24" s="9">
        <f t="shared" ref="D24:D27" si="2">ROUND(96.96+B24*0.08196,2)</f>
        <v>158.43</v>
      </c>
      <c r="E24" s="9">
        <f>+D24-C24</f>
        <v>5.1100000000000136</v>
      </c>
      <c r="F24" s="10">
        <f>+E24/C24</f>
        <v>3.3328985129141758E-2</v>
      </c>
      <c r="H24" s="8">
        <f>+B24</f>
        <v>750</v>
      </c>
      <c r="I24" s="9">
        <f>+D24</f>
        <v>158.43</v>
      </c>
      <c r="J24" s="9">
        <f>ROUND(104.64+H24*0.08843,2)</f>
        <v>170.96</v>
      </c>
      <c r="K24" s="9"/>
      <c r="L24" s="9">
        <f>+J24-I24</f>
        <v>12.530000000000001</v>
      </c>
      <c r="M24" s="10">
        <f>+L24/I24</f>
        <v>7.9088556460266371E-2</v>
      </c>
    </row>
    <row r="25" spans="1:13" ht="14.1" hidden="1" customHeight="1" x14ac:dyDescent="0.25">
      <c r="A25" s="1"/>
      <c r="B25" s="8">
        <v>1000</v>
      </c>
      <c r="C25" s="9">
        <f t="shared" si="1"/>
        <v>173.14</v>
      </c>
      <c r="D25" s="9">
        <f t="shared" si="2"/>
        <v>178.92</v>
      </c>
      <c r="E25" s="9">
        <f>+D25-C25</f>
        <v>5.7800000000000011</v>
      </c>
      <c r="F25" s="10">
        <f>+E25/C25</f>
        <v>3.3383389164837712E-2</v>
      </c>
      <c r="H25" s="8">
        <f>+B25</f>
        <v>1000</v>
      </c>
      <c r="I25" s="9">
        <f>+D25</f>
        <v>178.92</v>
      </c>
      <c r="J25" s="9">
        <f>ROUND(104.64+H25*0.08843,2)</f>
        <v>193.07</v>
      </c>
      <c r="K25" s="9"/>
      <c r="L25" s="9">
        <f>+J25-I25</f>
        <v>14.150000000000006</v>
      </c>
      <c r="M25" s="10">
        <f>+L25/I25</f>
        <v>7.9085624860272791E-2</v>
      </c>
    </row>
    <row r="26" spans="1:13" ht="14.1" hidden="1" customHeight="1" x14ac:dyDescent="0.25">
      <c r="A26" s="1"/>
      <c r="B26" s="8">
        <v>2000</v>
      </c>
      <c r="C26" s="9">
        <f t="shared" si="1"/>
        <v>252.44</v>
      </c>
      <c r="D26" s="9">
        <f t="shared" si="2"/>
        <v>260.88</v>
      </c>
      <c r="E26" s="9">
        <f>+D26-C26</f>
        <v>8.4399999999999977</v>
      </c>
      <c r="F26" s="10">
        <f>+E26/C26</f>
        <v>3.3433687212803036E-2</v>
      </c>
      <c r="H26" s="8">
        <f>+B26</f>
        <v>2000</v>
      </c>
      <c r="I26" s="9">
        <f>+D26</f>
        <v>260.88</v>
      </c>
      <c r="J26" s="9">
        <f>ROUND(104.64+H26*0.08843,2)</f>
        <v>281.5</v>
      </c>
      <c r="K26" s="9"/>
      <c r="L26" s="9">
        <f>+J26-I26</f>
        <v>20.620000000000005</v>
      </c>
      <c r="M26" s="10">
        <f>+L26/I26</f>
        <v>7.9040171726464298E-2</v>
      </c>
    </row>
    <row r="27" spans="1:13" ht="14.1" hidden="1" customHeight="1" x14ac:dyDescent="0.25">
      <c r="A27" s="1"/>
      <c r="B27" s="8">
        <v>5000</v>
      </c>
      <c r="C27" s="9">
        <f t="shared" si="1"/>
        <v>490.34</v>
      </c>
      <c r="D27" s="9">
        <f t="shared" si="2"/>
        <v>506.76</v>
      </c>
      <c r="E27" s="9">
        <f>+D27-C27</f>
        <v>16.420000000000016</v>
      </c>
      <c r="F27" s="10">
        <f>+E27/C27</f>
        <v>3.3486968226128844E-2</v>
      </c>
      <c r="H27" s="8">
        <f>+B27</f>
        <v>5000</v>
      </c>
      <c r="I27" s="9">
        <f>+D27</f>
        <v>506.76</v>
      </c>
      <c r="J27" s="9">
        <f>ROUND(104.64+H27*0.08843,2)</f>
        <v>546.79</v>
      </c>
      <c r="K27" s="9"/>
      <c r="L27" s="9">
        <f>+J27-I27</f>
        <v>40.029999999999973</v>
      </c>
      <c r="M27" s="10">
        <f>+L27/I27</f>
        <v>7.8992027784355462E-2</v>
      </c>
    </row>
    <row r="28" spans="1:13" ht="14.1" hidden="1" customHeight="1" x14ac:dyDescent="0.25">
      <c r="A28" s="1"/>
      <c r="B28" s="12"/>
      <c r="C28" s="13"/>
      <c r="D28" s="13"/>
      <c r="E28" s="13"/>
      <c r="F28" s="14"/>
      <c r="H28" s="15"/>
      <c r="I28" s="11"/>
      <c r="J28" s="11"/>
      <c r="K28" s="11"/>
      <c r="L28" s="11"/>
      <c r="M28" s="16"/>
    </row>
    <row r="29" spans="1:13" ht="14.1" hidden="1" customHeight="1" x14ac:dyDescent="0.25">
      <c r="A29" s="1"/>
      <c r="B29" s="15"/>
      <c r="C29" s="11"/>
      <c r="D29" s="11"/>
      <c r="E29" s="11"/>
      <c r="F29" s="16"/>
      <c r="H29" s="15"/>
      <c r="I29" s="11"/>
      <c r="J29" s="11"/>
      <c r="K29" s="11"/>
      <c r="L29" s="11"/>
      <c r="M29" s="16"/>
    </row>
    <row r="30" spans="1:13" ht="18.75" hidden="1" customHeight="1" x14ac:dyDescent="0.3">
      <c r="A30" s="1"/>
      <c r="B30" s="53" t="s">
        <v>1</v>
      </c>
      <c r="C30" s="53"/>
      <c r="D30" s="53"/>
      <c r="E30" s="53"/>
      <c r="F30" s="53"/>
      <c r="H30" s="53" t="s">
        <v>1</v>
      </c>
      <c r="I30" s="53"/>
      <c r="J30" s="53"/>
      <c r="K30" s="53"/>
      <c r="L30" s="53"/>
      <c r="M30" s="53"/>
    </row>
    <row r="31" spans="1:13" ht="15.75" hidden="1" customHeight="1" x14ac:dyDescent="0.3">
      <c r="A31" s="1"/>
      <c r="B31" s="53" t="s">
        <v>13</v>
      </c>
      <c r="C31" s="53"/>
      <c r="D31" s="53"/>
      <c r="E31" s="53"/>
      <c r="F31" s="53"/>
      <c r="H31" s="53" t="s">
        <v>13</v>
      </c>
      <c r="I31" s="53"/>
      <c r="J31" s="53"/>
      <c r="K31" s="53"/>
      <c r="L31" s="53"/>
      <c r="M31" s="53"/>
    </row>
    <row r="32" spans="1:13" ht="14.1" hidden="1" customHeight="1" x14ac:dyDescent="0.25">
      <c r="A32" s="1"/>
      <c r="B32" s="54" t="s">
        <v>14</v>
      </c>
      <c r="C32" s="54"/>
      <c r="H32" s="17" t="s">
        <v>54</v>
      </c>
      <c r="I32" s="17"/>
    </row>
    <row r="33" spans="1:15" ht="14.1" hidden="1" customHeight="1" x14ac:dyDescent="0.25">
      <c r="A33" s="1"/>
    </row>
    <row r="34" spans="1:15" ht="14.1" hidden="1" customHeight="1" x14ac:dyDescent="0.25">
      <c r="A34" s="1"/>
      <c r="B34" s="5"/>
      <c r="C34" s="6">
        <f>+$C$8</f>
        <v>42583</v>
      </c>
      <c r="D34" s="6">
        <f>+$D$8</f>
        <v>42948</v>
      </c>
      <c r="E34" s="5" t="s">
        <v>3</v>
      </c>
      <c r="F34" s="5" t="s">
        <v>4</v>
      </c>
      <c r="H34" s="5"/>
      <c r="I34" s="6">
        <f>+$I$8</f>
        <v>42948</v>
      </c>
      <c r="J34" s="6">
        <f>+$J$8</f>
        <v>43191</v>
      </c>
      <c r="K34" s="6"/>
      <c r="L34" s="5" t="s">
        <v>3</v>
      </c>
      <c r="M34" s="5" t="s">
        <v>4</v>
      </c>
    </row>
    <row r="35" spans="1:15" ht="14.1" hidden="1" customHeight="1" x14ac:dyDescent="0.25">
      <c r="A35" s="1"/>
      <c r="B35" s="7" t="s">
        <v>5</v>
      </c>
      <c r="C35" s="7" t="s">
        <v>6</v>
      </c>
      <c r="D35" s="7" t="s">
        <v>6</v>
      </c>
      <c r="E35" s="7" t="s">
        <v>7</v>
      </c>
      <c r="F35" s="7" t="s">
        <v>8</v>
      </c>
      <c r="H35" s="7" t="s">
        <v>5</v>
      </c>
      <c r="I35" s="7" t="s">
        <v>6</v>
      </c>
      <c r="J35" s="7" t="s">
        <v>6</v>
      </c>
      <c r="K35" s="7"/>
      <c r="L35" s="7" t="s">
        <v>7</v>
      </c>
      <c r="M35" s="7" t="s">
        <v>8</v>
      </c>
    </row>
    <row r="36" spans="1:15" ht="14.1" hidden="1" customHeight="1" x14ac:dyDescent="0.25">
      <c r="A36" s="1"/>
      <c r="B36" s="8">
        <v>250</v>
      </c>
      <c r="C36" s="9">
        <f>ROUND(7.82+B36*0.0793,2)</f>
        <v>27.65</v>
      </c>
      <c r="D36" s="9">
        <f>ROUND(8.08+B36*0.08196,2)</f>
        <v>28.57</v>
      </c>
      <c r="E36" s="9">
        <f>+D36-C36</f>
        <v>0.92000000000000171</v>
      </c>
      <c r="F36" s="10">
        <f>+E36/C36</f>
        <v>3.3273056057866249E-2</v>
      </c>
      <c r="H36" s="8">
        <f>+B36</f>
        <v>250</v>
      </c>
      <c r="I36" s="9">
        <f>+D36</f>
        <v>28.57</v>
      </c>
      <c r="J36" s="9">
        <f>ROUND(8.72+H36*0.08843,2)</f>
        <v>30.83</v>
      </c>
      <c r="K36" s="9"/>
      <c r="L36" s="9">
        <f>+J36-I36</f>
        <v>2.259999999999998</v>
      </c>
      <c r="M36" s="10">
        <f>+L36/I36</f>
        <v>7.9103955197759812E-2</v>
      </c>
    </row>
    <row r="37" spans="1:15" ht="14.1" hidden="1" customHeight="1" x14ac:dyDescent="0.25">
      <c r="A37" s="1"/>
      <c r="B37" s="8">
        <v>750</v>
      </c>
      <c r="C37" s="9">
        <f t="shared" ref="C37:C40" si="3">ROUND(7.82+B37*0.0793,2)</f>
        <v>67.3</v>
      </c>
      <c r="D37" s="9">
        <f>ROUND(8.08+B37*0.08196,2)</f>
        <v>69.55</v>
      </c>
      <c r="E37" s="9">
        <f>+D37-C37</f>
        <v>2.25</v>
      </c>
      <c r="F37" s="10">
        <f>+E37/C37</f>
        <v>3.3432392273402674E-2</v>
      </c>
      <c r="H37" s="8">
        <f>+B37</f>
        <v>750</v>
      </c>
      <c r="I37" s="9">
        <f>+D37</f>
        <v>69.55</v>
      </c>
      <c r="J37" s="9">
        <f>ROUND(8.72+H37*0.08843,2)</f>
        <v>75.040000000000006</v>
      </c>
      <c r="K37" s="9"/>
      <c r="L37" s="9">
        <f>+J37-I37</f>
        <v>5.4900000000000091</v>
      </c>
      <c r="M37" s="10">
        <f>+L37/I37</f>
        <v>7.8936017253774401E-2</v>
      </c>
    </row>
    <row r="38" spans="1:15" ht="14.1" hidden="1" customHeight="1" x14ac:dyDescent="0.25">
      <c r="A38" s="1"/>
      <c r="B38" s="8">
        <v>1000</v>
      </c>
      <c r="C38" s="9">
        <f t="shared" si="3"/>
        <v>87.12</v>
      </c>
      <c r="D38" s="9">
        <f>ROUND(8.08+B38*0.08196,2)</f>
        <v>90.04</v>
      </c>
      <c r="E38" s="9">
        <f>+D38-C38</f>
        <v>2.9200000000000017</v>
      </c>
      <c r="F38" s="10">
        <f>+E38/C38</f>
        <v>3.3516988062442625E-2</v>
      </c>
      <c r="H38" s="8">
        <f>+B38</f>
        <v>1000</v>
      </c>
      <c r="I38" s="9">
        <f>+D38</f>
        <v>90.04</v>
      </c>
      <c r="J38" s="9">
        <f>ROUND(8.72+H38*0.08843,2)</f>
        <v>97.15</v>
      </c>
      <c r="K38" s="9"/>
      <c r="L38" s="9">
        <f>+J38-I38</f>
        <v>7.1099999999999994</v>
      </c>
      <c r="M38" s="10">
        <f>+L38/I38</f>
        <v>7.8964904486894708E-2</v>
      </c>
    </row>
    <row r="39" spans="1:15" ht="14.1" hidden="1" customHeight="1" x14ac:dyDescent="0.25">
      <c r="A39" s="1"/>
      <c r="B39" s="8">
        <v>2000</v>
      </c>
      <c r="C39" s="9">
        <f t="shared" si="3"/>
        <v>166.42</v>
      </c>
      <c r="D39" s="9">
        <f>ROUND(8.08+B39*0.08196,2)</f>
        <v>172</v>
      </c>
      <c r="E39" s="9">
        <f>+D39-C39</f>
        <v>5.5800000000000125</v>
      </c>
      <c r="F39" s="10">
        <f>+E39/C39</f>
        <v>3.3529623843288142E-2</v>
      </c>
      <c r="H39" s="8">
        <f>+B39</f>
        <v>2000</v>
      </c>
      <c r="I39" s="9">
        <f>+D39</f>
        <v>172</v>
      </c>
      <c r="J39" s="9">
        <f>ROUND(8.72+H39*0.08843,2)</f>
        <v>185.58</v>
      </c>
      <c r="K39" s="9"/>
      <c r="L39" s="9">
        <f>+J39-I39</f>
        <v>13.580000000000013</v>
      </c>
      <c r="M39" s="10">
        <f>+L39/I39</f>
        <v>7.8953488372093095E-2</v>
      </c>
    </row>
    <row r="40" spans="1:15" ht="14.1" hidden="1" customHeight="1" x14ac:dyDescent="0.25">
      <c r="A40" s="1"/>
      <c r="B40" s="8">
        <v>5000</v>
      </c>
      <c r="C40" s="9">
        <f t="shared" si="3"/>
        <v>404.32</v>
      </c>
      <c r="D40" s="9">
        <f>ROUND(8.08+B40*0.08196,2)</f>
        <v>417.88</v>
      </c>
      <c r="E40" s="9">
        <f>+D40-C40</f>
        <v>13.560000000000002</v>
      </c>
      <c r="F40" s="10">
        <f>+E40/C40</f>
        <v>3.3537791848041162E-2</v>
      </c>
      <c r="H40" s="8">
        <f>+B40</f>
        <v>5000</v>
      </c>
      <c r="I40" s="9">
        <f>+D40</f>
        <v>417.88</v>
      </c>
      <c r="J40" s="9">
        <f>ROUND(8.72+H40*0.08843,2)</f>
        <v>450.87</v>
      </c>
      <c r="K40" s="9"/>
      <c r="L40" s="9">
        <f>+J40-I40</f>
        <v>32.990000000000009</v>
      </c>
      <c r="M40" s="10">
        <f>+L40/I40</f>
        <v>7.8946108930793554E-2</v>
      </c>
    </row>
    <row r="41" spans="1:15" ht="14.1" hidden="1" customHeight="1" x14ac:dyDescent="0.25">
      <c r="A41" s="1"/>
    </row>
    <row r="42" spans="1:15" ht="18" customHeight="1" x14ac:dyDescent="0.35">
      <c r="A42" s="1"/>
      <c r="B42" s="55" t="s">
        <v>0</v>
      </c>
      <c r="C42" s="55"/>
      <c r="D42" s="55"/>
      <c r="E42" s="55"/>
      <c r="F42" s="55"/>
      <c r="H42" s="55" t="s">
        <v>0</v>
      </c>
      <c r="I42" s="55"/>
      <c r="J42" s="55"/>
      <c r="K42" s="55"/>
      <c r="L42" s="55"/>
      <c r="M42" s="55"/>
    </row>
    <row r="43" spans="1:15" ht="16.5" customHeight="1" x14ac:dyDescent="0.25">
      <c r="A43" s="1"/>
      <c r="H43" s="1" t="s">
        <v>65</v>
      </c>
      <c r="I43" s="57">
        <v>3.4284935114577415E-3</v>
      </c>
    </row>
    <row r="44" spans="1:15" ht="21" customHeight="1" x14ac:dyDescent="0.3">
      <c r="A44" s="1"/>
      <c r="B44" s="53" t="s">
        <v>15</v>
      </c>
      <c r="C44" s="53"/>
      <c r="D44" s="53"/>
      <c r="E44" s="53"/>
      <c r="F44" s="53"/>
      <c r="H44" s="53" t="str">
        <f>+B44</f>
        <v>General Service Small</v>
      </c>
      <c r="I44" s="53"/>
      <c r="J44" s="53"/>
      <c r="K44" s="53"/>
      <c r="L44" s="53"/>
      <c r="M44" s="53"/>
    </row>
    <row r="45" spans="1:15" ht="16.5" customHeight="1" x14ac:dyDescent="0.3">
      <c r="A45" s="1"/>
      <c r="B45" s="53" t="s">
        <v>16</v>
      </c>
      <c r="C45" s="53"/>
      <c r="D45" s="53"/>
      <c r="E45" s="53"/>
      <c r="F45" s="53"/>
      <c r="H45" s="53" t="s">
        <v>16</v>
      </c>
      <c r="I45" s="53"/>
      <c r="J45" s="53"/>
      <c r="K45" s="53"/>
      <c r="L45" s="53"/>
      <c r="M45" s="53"/>
    </row>
    <row r="46" spans="1:15" ht="14.1" customHeight="1" x14ac:dyDescent="0.25">
      <c r="A46" s="1"/>
      <c r="B46" s="54" t="s">
        <v>17</v>
      </c>
      <c r="C46" s="54"/>
      <c r="H46" s="54" t="s">
        <v>55</v>
      </c>
      <c r="I46" s="54"/>
      <c r="L46" s="61" t="s">
        <v>68</v>
      </c>
      <c r="M46" s="61"/>
      <c r="N46" s="60" t="s">
        <v>70</v>
      </c>
      <c r="O46" s="60"/>
    </row>
    <row r="47" spans="1:15" ht="14.1" customHeight="1" x14ac:dyDescent="0.25">
      <c r="A47" s="1"/>
      <c r="L47" s="59"/>
      <c r="M47" s="59"/>
      <c r="N47" s="59"/>
      <c r="O47" s="59"/>
    </row>
    <row r="48" spans="1:15" ht="14.1" customHeight="1" x14ac:dyDescent="0.25">
      <c r="B48" s="5"/>
      <c r="C48" s="6">
        <f>+$C$8</f>
        <v>42583</v>
      </c>
      <c r="D48" s="6">
        <f>+$D$8</f>
        <v>42948</v>
      </c>
      <c r="E48" s="5" t="s">
        <v>3</v>
      </c>
      <c r="F48" s="5" t="s">
        <v>4</v>
      </c>
      <c r="H48" s="5"/>
      <c r="I48" s="6">
        <f>+$I$8</f>
        <v>42948</v>
      </c>
      <c r="J48" s="6">
        <f>+$J$8</f>
        <v>43191</v>
      </c>
      <c r="K48" s="6" t="s">
        <v>64</v>
      </c>
      <c r="L48" s="5" t="s">
        <v>3</v>
      </c>
      <c r="M48" s="5" t="s">
        <v>4</v>
      </c>
      <c r="N48" s="5" t="s">
        <v>3</v>
      </c>
      <c r="O48" s="5" t="s">
        <v>4</v>
      </c>
    </row>
    <row r="49" spans="1:15" ht="14.1" customHeight="1" x14ac:dyDescent="0.25">
      <c r="B49" s="7" t="s">
        <v>5</v>
      </c>
      <c r="C49" s="7" t="s">
        <v>6</v>
      </c>
      <c r="D49" s="7" t="s">
        <v>6</v>
      </c>
      <c r="E49" s="7" t="s">
        <v>7</v>
      </c>
      <c r="F49" s="7" t="s">
        <v>8</v>
      </c>
      <c r="H49" s="7" t="s">
        <v>5</v>
      </c>
      <c r="I49" s="7" t="s">
        <v>6</v>
      </c>
      <c r="J49" s="7" t="s">
        <v>6</v>
      </c>
      <c r="K49" s="7" t="str">
        <f>J49</f>
        <v>$ / Month</v>
      </c>
      <c r="L49" s="7" t="s">
        <v>7</v>
      </c>
      <c r="M49" s="7" t="s">
        <v>8</v>
      </c>
      <c r="N49" s="7" t="s">
        <v>69</v>
      </c>
      <c r="O49" s="7" t="s">
        <v>8</v>
      </c>
    </row>
    <row r="50" spans="1:15" ht="14.1" customHeight="1" x14ac:dyDescent="0.25">
      <c r="A50" s="18">
        <f>H50</f>
        <v>750</v>
      </c>
      <c r="B50" s="8">
        <v>750</v>
      </c>
      <c r="C50" s="19">
        <f>ROUND(21.2+B50*0.08329,2)</f>
        <v>83.67</v>
      </c>
      <c r="D50" s="9">
        <f>ROUND(21.91+B50*0.08609,2)</f>
        <v>86.48</v>
      </c>
      <c r="E50" s="9">
        <f>+D50-C50</f>
        <v>2.8100000000000023</v>
      </c>
      <c r="F50" s="10">
        <f>+E50/C50</f>
        <v>3.3584319349826725E-2</v>
      </c>
      <c r="H50" s="8">
        <f>+B50</f>
        <v>750</v>
      </c>
      <c r="I50" s="9">
        <f>+D50</f>
        <v>86.48</v>
      </c>
      <c r="J50" s="9">
        <f>ROUND(23.64+H50*0.09289,2)</f>
        <v>93.31</v>
      </c>
      <c r="K50" s="9">
        <f>J50+A50*$I$43</f>
        <v>95.881370133593308</v>
      </c>
      <c r="L50" s="9">
        <f>+J50-I50</f>
        <v>6.8299999999999983</v>
      </c>
      <c r="M50" s="10">
        <f>+L50/I50</f>
        <v>7.8977798334875088E-2</v>
      </c>
      <c r="N50" s="11">
        <f>K50-I50</f>
        <v>9.4013701335933035</v>
      </c>
      <c r="O50" s="16">
        <f>K50/I50-1</f>
        <v>0.10871149553183757</v>
      </c>
    </row>
    <row r="51" spans="1:15" ht="14.1" customHeight="1" x14ac:dyDescent="0.25">
      <c r="A51" s="18">
        <f t="shared" ref="A51:A53" si="4">H51</f>
        <v>2000</v>
      </c>
      <c r="B51" s="8">
        <v>2000</v>
      </c>
      <c r="C51" s="19">
        <f t="shared" ref="C51:C53" si="5">ROUND(21.2+B51*0.08329,2)</f>
        <v>187.78</v>
      </c>
      <c r="D51" s="9">
        <f t="shared" ref="D51:D53" si="6">ROUND(21.91+B51*0.08609,2)</f>
        <v>194.09</v>
      </c>
      <c r="E51" s="9">
        <f>+D51-C51</f>
        <v>6.3100000000000023</v>
      </c>
      <c r="F51" s="10">
        <f>+E51/C51</f>
        <v>3.3603152625412726E-2</v>
      </c>
      <c r="H51" s="8">
        <f>+B51</f>
        <v>2000</v>
      </c>
      <c r="I51" s="9">
        <f>+D51</f>
        <v>194.09</v>
      </c>
      <c r="J51" s="9">
        <f t="shared" ref="J51:J53" si="7">ROUND(23.64+H51*0.09289,2)</f>
        <v>209.42</v>
      </c>
      <c r="K51" s="9">
        <f t="shared" ref="K51:K53" si="8">J51+A51*$I$43</f>
        <v>216.27698702291548</v>
      </c>
      <c r="L51" s="9">
        <f>+J51-I51</f>
        <v>15.329999999999984</v>
      </c>
      <c r="M51" s="10">
        <f>+L51/I51</f>
        <v>7.898397650574468E-2</v>
      </c>
      <c r="N51" s="11">
        <f t="shared" ref="N51:N53" si="9">K51-I51</f>
        <v>22.186987022915474</v>
      </c>
      <c r="O51" s="16">
        <f t="shared" ref="O51:O53" si="10">K51/I51-1</f>
        <v>0.11431288074045787</v>
      </c>
    </row>
    <row r="52" spans="1:15" ht="14.1" customHeight="1" x14ac:dyDescent="0.25">
      <c r="A52" s="18">
        <f t="shared" si="4"/>
        <v>5000</v>
      </c>
      <c r="B52" s="8">
        <v>5000</v>
      </c>
      <c r="C52" s="19">
        <f t="shared" si="5"/>
        <v>437.65</v>
      </c>
      <c r="D52" s="9">
        <f t="shared" si="6"/>
        <v>452.36</v>
      </c>
      <c r="E52" s="9">
        <f>+D52-C52</f>
        <v>14.710000000000036</v>
      </c>
      <c r="F52" s="10">
        <f>+E52/C52</f>
        <v>3.3611333257169057E-2</v>
      </c>
      <c r="H52" s="8">
        <f>+B52</f>
        <v>5000</v>
      </c>
      <c r="I52" s="9">
        <f>+D52</f>
        <v>452.36</v>
      </c>
      <c r="J52" s="9">
        <f t="shared" si="7"/>
        <v>488.09</v>
      </c>
      <c r="K52" s="9">
        <f t="shared" si="8"/>
        <v>505.23246755728866</v>
      </c>
      <c r="L52" s="9">
        <f>+J52-I52</f>
        <v>35.729999999999961</v>
      </c>
      <c r="M52" s="10">
        <f>+L52/I52</f>
        <v>7.8985763551153859E-2</v>
      </c>
      <c r="N52" s="11">
        <f t="shared" si="9"/>
        <v>52.872467557288644</v>
      </c>
      <c r="O52" s="16">
        <f t="shared" si="10"/>
        <v>0.11688139437016676</v>
      </c>
    </row>
    <row r="53" spans="1:15" ht="14.1" customHeight="1" x14ac:dyDescent="0.25">
      <c r="A53" s="18">
        <f t="shared" si="4"/>
        <v>10000</v>
      </c>
      <c r="B53" s="8">
        <v>10000</v>
      </c>
      <c r="C53" s="19">
        <f t="shared" si="5"/>
        <v>854.1</v>
      </c>
      <c r="D53" s="9">
        <f t="shared" si="6"/>
        <v>882.81</v>
      </c>
      <c r="E53" s="9">
        <f>+D53-C53</f>
        <v>28.709999999999923</v>
      </c>
      <c r="F53" s="10">
        <f>+E53/C53</f>
        <v>3.3614330874604754E-2</v>
      </c>
      <c r="H53" s="8">
        <f>+B53</f>
        <v>10000</v>
      </c>
      <c r="I53" s="9">
        <f>+D53</f>
        <v>882.81</v>
      </c>
      <c r="J53" s="9">
        <f t="shared" si="7"/>
        <v>952.54</v>
      </c>
      <c r="K53" s="9">
        <f t="shared" si="8"/>
        <v>986.82493511457733</v>
      </c>
      <c r="L53" s="9">
        <f>+J53-I53</f>
        <v>69.730000000000018</v>
      </c>
      <c r="M53" s="10">
        <f>+L53/I53</f>
        <v>7.8986418368618416E-2</v>
      </c>
      <c r="N53" s="11">
        <f t="shared" si="9"/>
        <v>104.01493511457738</v>
      </c>
      <c r="O53" s="16">
        <f t="shared" si="10"/>
        <v>0.11782256104323396</v>
      </c>
    </row>
    <row r="54" spans="1:15" ht="14.1" customHeight="1" x14ac:dyDescent="0.25">
      <c r="B54" s="12"/>
      <c r="C54" s="13"/>
      <c r="D54" s="13"/>
      <c r="E54" s="13"/>
      <c r="F54" s="14"/>
      <c r="H54" s="12"/>
      <c r="I54" s="13"/>
      <c r="J54" s="13"/>
      <c r="K54" s="13"/>
      <c r="L54" s="13"/>
      <c r="M54" s="14"/>
    </row>
    <row r="55" spans="1:15" ht="14.1" customHeight="1" x14ac:dyDescent="0.25"/>
    <row r="56" spans="1:15" ht="21" customHeight="1" x14ac:dyDescent="0.3">
      <c r="B56" s="53" t="s">
        <v>15</v>
      </c>
      <c r="C56" s="53"/>
      <c r="D56" s="53"/>
      <c r="E56" s="53"/>
      <c r="F56" s="53"/>
      <c r="H56" s="53" t="str">
        <f>+B56</f>
        <v>General Service Small</v>
      </c>
      <c r="I56" s="53"/>
      <c r="J56" s="53"/>
      <c r="K56" s="53"/>
      <c r="L56" s="53"/>
      <c r="M56" s="53"/>
    </row>
    <row r="57" spans="1:15" ht="17.25" customHeight="1" x14ac:dyDescent="0.3">
      <c r="B57" s="53" t="s">
        <v>18</v>
      </c>
      <c r="C57" s="53"/>
      <c r="D57" s="53"/>
      <c r="E57" s="53"/>
      <c r="F57" s="53"/>
      <c r="H57" s="53" t="s">
        <v>18</v>
      </c>
      <c r="I57" s="53"/>
      <c r="J57" s="53"/>
      <c r="K57" s="53"/>
      <c r="L57" s="53"/>
      <c r="M57" s="53"/>
    </row>
    <row r="58" spans="1:15" ht="14.1" customHeight="1" x14ac:dyDescent="0.25"/>
    <row r="59" spans="1:15" ht="14.1" customHeight="1" x14ac:dyDescent="0.25">
      <c r="B59" s="54" t="s">
        <v>19</v>
      </c>
      <c r="C59" s="54"/>
      <c r="H59" s="54" t="s">
        <v>56</v>
      </c>
      <c r="I59" s="54"/>
      <c r="N59" s="60" t="s">
        <v>70</v>
      </c>
      <c r="O59" s="60"/>
    </row>
    <row r="60" spans="1:15" ht="14.1" customHeight="1" x14ac:dyDescent="0.25">
      <c r="N60" s="59"/>
      <c r="O60" s="59"/>
    </row>
    <row r="61" spans="1:15" ht="14.1" customHeight="1" x14ac:dyDescent="0.25">
      <c r="B61" s="5" t="s">
        <v>20</v>
      </c>
      <c r="C61" s="6">
        <f>+$C$8</f>
        <v>42583</v>
      </c>
      <c r="D61" s="6">
        <f>+$D$8</f>
        <v>42948</v>
      </c>
      <c r="E61" s="5" t="s">
        <v>3</v>
      </c>
      <c r="F61" s="5" t="s">
        <v>4</v>
      </c>
      <c r="H61" s="5" t="s">
        <v>20</v>
      </c>
      <c r="I61" s="6">
        <f>+$I$8</f>
        <v>42948</v>
      </c>
      <c r="J61" s="6">
        <f>+$J$8</f>
        <v>43191</v>
      </c>
      <c r="K61" s="6" t="s">
        <v>64</v>
      </c>
      <c r="L61" s="5" t="s">
        <v>3</v>
      </c>
      <c r="M61" s="5" t="s">
        <v>4</v>
      </c>
      <c r="N61" s="5" t="s">
        <v>3</v>
      </c>
      <c r="O61" s="5" t="s">
        <v>4</v>
      </c>
    </row>
    <row r="62" spans="1:15" ht="14.1" customHeight="1" x14ac:dyDescent="0.25">
      <c r="B62" s="7" t="s">
        <v>21</v>
      </c>
      <c r="C62" s="7" t="s">
        <v>6</v>
      </c>
      <c r="D62" s="7" t="s">
        <v>6</v>
      </c>
      <c r="E62" s="7" t="s">
        <v>7</v>
      </c>
      <c r="F62" s="7" t="s">
        <v>8</v>
      </c>
      <c r="H62" s="7" t="s">
        <v>21</v>
      </c>
      <c r="I62" s="7" t="s">
        <v>6</v>
      </c>
      <c r="J62" s="7" t="s">
        <v>6</v>
      </c>
      <c r="K62" s="7" t="str">
        <f>J62</f>
        <v>$ / Month</v>
      </c>
      <c r="L62" s="7" t="s">
        <v>7</v>
      </c>
      <c r="M62" s="7" t="s">
        <v>8</v>
      </c>
      <c r="N62" s="7" t="s">
        <v>69</v>
      </c>
      <c r="O62" s="7" t="s">
        <v>8</v>
      </c>
    </row>
    <row r="63" spans="1:15" ht="14.1" customHeight="1" x14ac:dyDescent="0.25">
      <c r="A63" s="18">
        <f>ROUND(51*730*B63,0)</f>
        <v>9308</v>
      </c>
      <c r="B63" s="20">
        <v>0.25</v>
      </c>
      <c r="C63" s="21">
        <f>ROUND(29.89+1*9.77+IF(A63&lt;11000,+A63*0.08329,IF(A63&gt;(11000+8500),11000*0.08329+8500*0.05782+(A63-11000-8500)*0.03816,11000*0.08329+(A63-11000)*0.05782)),2)</f>
        <v>814.92</v>
      </c>
      <c r="D63" s="21">
        <f>ROUND(30.89+1*10.1+IF(A63&lt;11000,+A63*0.08609,IF(A63&gt;(11000+8500),11000*0.08609+8500*0.05976+(A63-11000-8500)*0.03944,11000*0.08609+(A63-11000)*0.05976)),2)</f>
        <v>842.32</v>
      </c>
      <c r="E63" s="21">
        <f>+D63-C63</f>
        <v>27.400000000000091</v>
      </c>
      <c r="F63" s="22">
        <f>+E63/C63</f>
        <v>3.3622932312374336E-2</v>
      </c>
      <c r="H63" s="23">
        <v>0.25</v>
      </c>
      <c r="I63" s="9">
        <f>+D63</f>
        <v>842.32</v>
      </c>
      <c r="J63" s="9">
        <f>ROUND(33.33+1*10.9+IF(A63&lt;11000,+A63*0.09289,IF(A63&gt;(11000+8500),11000*0.09289+8500*0.06448+(A63-11000-8500)*0.04256,11000*0.09289+(A63-11000)*0.06448)),2)</f>
        <v>908.85</v>
      </c>
      <c r="K63" s="9">
        <f>J63+A63*$I$43</f>
        <v>940.7624176046487</v>
      </c>
      <c r="L63" s="9">
        <f>+J63-I63</f>
        <v>66.529999999999973</v>
      </c>
      <c r="M63" s="10">
        <f>+L63/I63</f>
        <v>7.8984234020324784E-2</v>
      </c>
      <c r="N63" s="11">
        <f>K63-I63</f>
        <v>98.442417604648654</v>
      </c>
      <c r="O63" s="16">
        <f>K63/I63-1</f>
        <v>0.11687056891044811</v>
      </c>
    </row>
    <row r="64" spans="1:15" ht="14.1" customHeight="1" x14ac:dyDescent="0.25">
      <c r="A64" s="18">
        <f t="shared" ref="A64:A66" si="11">ROUND(51*730*B64,0)</f>
        <v>18615</v>
      </c>
      <c r="B64" s="20">
        <v>0.5</v>
      </c>
      <c r="C64" s="21">
        <f t="shared" ref="C64:C66" si="12">ROUND(29.89+1*9.77+IF(A64&lt;11000,+A64*0.08329,IF(A64&gt;(11000+8500),11000*0.08329+8500*0.05782+(A64-11000-8500)*0.03816,11000*0.08329+(A64-11000)*0.05782)),2)</f>
        <v>1396.15</v>
      </c>
      <c r="D64" s="21">
        <f t="shared" ref="D64:D66" si="13">ROUND(30.89+1*10.1+IF(A64&lt;11000,+A64*0.08609,IF(A64&gt;(11000+8500),11000*0.08609+8500*0.05976+(A64-11000-8500)*0.03944,11000*0.08609+(A64-11000)*0.05976)),2)</f>
        <v>1443.05</v>
      </c>
      <c r="E64" s="21">
        <f>+D64-C64</f>
        <v>46.899999999999864</v>
      </c>
      <c r="F64" s="22">
        <f>+E64/C64</f>
        <v>3.3592379042366408E-2</v>
      </c>
      <c r="G64" s="24"/>
      <c r="H64" s="23">
        <v>0.5</v>
      </c>
      <c r="I64" s="9">
        <f>+D64</f>
        <v>1443.05</v>
      </c>
      <c r="J64" s="9">
        <f t="shared" ref="J64:J66" si="14">ROUND(33.33+1*10.9+IF(A64&lt;11000,+A64*0.09289,IF(A64&gt;(11000+8500),11000*0.09289+8500*0.06448+(A64-11000-8500)*0.04256,11000*0.09289+(A64-11000)*0.06448)),2)</f>
        <v>1557.04</v>
      </c>
      <c r="K64" s="9">
        <f t="shared" ref="K64:K66" si="15">J64+A64*$I$43</f>
        <v>1620.8614067157857</v>
      </c>
      <c r="L64" s="9">
        <f>+J64-I64</f>
        <v>113.99000000000001</v>
      </c>
      <c r="M64" s="10">
        <f>+L64/I64</f>
        <v>7.8992411905339399E-2</v>
      </c>
      <c r="N64" s="11">
        <f t="shared" ref="N64:N66" si="16">K64-I64</f>
        <v>177.81140671578578</v>
      </c>
      <c r="O64" s="16">
        <f t="shared" ref="O64:O66" si="17">K64/I64-1</f>
        <v>0.12321915852935494</v>
      </c>
    </row>
    <row r="65" spans="1:15" ht="14.1" customHeight="1" x14ac:dyDescent="0.25">
      <c r="A65" s="18">
        <f t="shared" si="11"/>
        <v>27923</v>
      </c>
      <c r="B65" s="20">
        <v>0.75</v>
      </c>
      <c r="C65" s="21">
        <f t="shared" si="12"/>
        <v>1768.74</v>
      </c>
      <c r="D65" s="21">
        <f t="shared" si="13"/>
        <v>1828.14</v>
      </c>
      <c r="E65" s="21">
        <f>+D65-C65</f>
        <v>59.400000000000091</v>
      </c>
      <c r="F65" s="22">
        <f>+E65/C65</f>
        <v>3.3583228739102466E-2</v>
      </c>
      <c r="G65" s="24"/>
      <c r="H65" s="23">
        <v>0.75</v>
      </c>
      <c r="I65" s="9">
        <f>+D65</f>
        <v>1828.14</v>
      </c>
      <c r="J65" s="9">
        <f t="shared" si="14"/>
        <v>1972.58</v>
      </c>
      <c r="K65" s="9">
        <f t="shared" si="15"/>
        <v>2068.3138243204344</v>
      </c>
      <c r="L65" s="9">
        <f>+J65-I65</f>
        <v>144.43999999999983</v>
      </c>
      <c r="M65" s="10">
        <f>+L65/I65</f>
        <v>7.9009266248755469E-2</v>
      </c>
      <c r="N65" s="11">
        <f t="shared" si="16"/>
        <v>240.17382432043428</v>
      </c>
      <c r="O65" s="16">
        <f t="shared" si="17"/>
        <v>0.13137605671361841</v>
      </c>
    </row>
    <row r="66" spans="1:15" ht="14.1" customHeight="1" x14ac:dyDescent="0.25">
      <c r="A66" s="18">
        <f t="shared" si="11"/>
        <v>37230</v>
      </c>
      <c r="B66" s="20">
        <v>1</v>
      </c>
      <c r="C66" s="21">
        <f t="shared" si="12"/>
        <v>2123.9</v>
      </c>
      <c r="D66" s="21">
        <f t="shared" si="13"/>
        <v>2195.21</v>
      </c>
      <c r="E66" s="21">
        <f>+D66-C66</f>
        <v>71.309999999999945</v>
      </c>
      <c r="F66" s="22">
        <f>+E66/C66</f>
        <v>3.3575027072837674E-2</v>
      </c>
      <c r="G66" s="24"/>
      <c r="H66" s="23">
        <v>1</v>
      </c>
      <c r="I66" s="9">
        <f>+D66</f>
        <v>2195.21</v>
      </c>
      <c r="J66" s="9">
        <f t="shared" si="14"/>
        <v>2368.69</v>
      </c>
      <c r="K66" s="9">
        <f t="shared" si="15"/>
        <v>2496.3328134315716</v>
      </c>
      <c r="L66" s="9">
        <f>+J66-I66</f>
        <v>173.48000000000002</v>
      </c>
      <c r="M66" s="10">
        <f>+L66/I66</f>
        <v>7.9026607932726256E-2</v>
      </c>
      <c r="N66" s="11">
        <f t="shared" si="16"/>
        <v>301.12281343157156</v>
      </c>
      <c r="O66" s="16">
        <f t="shared" si="17"/>
        <v>0.13717266841512732</v>
      </c>
    </row>
    <row r="67" spans="1:15" ht="14.1" customHeight="1" x14ac:dyDescent="0.25">
      <c r="M67" s="25"/>
    </row>
    <row r="68" spans="1:15" ht="14.1" customHeight="1" x14ac:dyDescent="0.25">
      <c r="D68" s="16"/>
    </row>
    <row r="69" spans="1:15" ht="21" customHeight="1" x14ac:dyDescent="0.3">
      <c r="B69" s="53" t="s">
        <v>15</v>
      </c>
      <c r="C69" s="53"/>
      <c r="D69" s="53"/>
      <c r="E69" s="53"/>
      <c r="F69" s="53"/>
      <c r="G69" s="26"/>
      <c r="H69" s="53" t="str">
        <f>+B69</f>
        <v>General Service Small</v>
      </c>
      <c r="I69" s="53"/>
      <c r="J69" s="53"/>
      <c r="K69" s="53"/>
      <c r="L69" s="53"/>
      <c r="M69" s="53"/>
    </row>
    <row r="70" spans="1:15" ht="18.75" customHeight="1" x14ac:dyDescent="0.3">
      <c r="B70" s="53" t="s">
        <v>22</v>
      </c>
      <c r="C70" s="53"/>
      <c r="D70" s="53"/>
      <c r="E70" s="53"/>
      <c r="F70" s="53"/>
      <c r="H70" s="53" t="s">
        <v>22</v>
      </c>
      <c r="I70" s="53"/>
      <c r="J70" s="53"/>
      <c r="K70" s="53"/>
      <c r="L70" s="53"/>
      <c r="M70" s="53"/>
    </row>
    <row r="71" spans="1:15" ht="14.1" customHeight="1" x14ac:dyDescent="0.25"/>
    <row r="72" spans="1:15" ht="14.1" customHeight="1" x14ac:dyDescent="0.25">
      <c r="B72" s="54" t="s">
        <v>19</v>
      </c>
      <c r="C72" s="54"/>
      <c r="H72" s="54" t="s">
        <v>56</v>
      </c>
      <c r="I72" s="54"/>
      <c r="N72" s="60" t="s">
        <v>70</v>
      </c>
      <c r="O72" s="60"/>
    </row>
    <row r="73" spans="1:15" ht="14.1" customHeight="1" x14ac:dyDescent="0.25">
      <c r="N73" s="59"/>
      <c r="O73" s="59"/>
    </row>
    <row r="74" spans="1:15" ht="14.1" customHeight="1" x14ac:dyDescent="0.25">
      <c r="B74" s="5" t="s">
        <v>20</v>
      </c>
      <c r="C74" s="6">
        <f>+$C$8</f>
        <v>42583</v>
      </c>
      <c r="D74" s="6">
        <f>+$D$8</f>
        <v>42948</v>
      </c>
      <c r="E74" s="5" t="s">
        <v>3</v>
      </c>
      <c r="F74" s="5" t="s">
        <v>4</v>
      </c>
      <c r="H74" s="5" t="s">
        <v>20</v>
      </c>
      <c r="I74" s="6">
        <f>+$I$8</f>
        <v>42948</v>
      </c>
      <c r="J74" s="6">
        <f>+$J$8</f>
        <v>43191</v>
      </c>
      <c r="K74" s="6" t="s">
        <v>64</v>
      </c>
      <c r="L74" s="5" t="s">
        <v>3</v>
      </c>
      <c r="M74" s="5" t="s">
        <v>4</v>
      </c>
      <c r="N74" s="5" t="s">
        <v>3</v>
      </c>
      <c r="O74" s="5" t="s">
        <v>4</v>
      </c>
    </row>
    <row r="75" spans="1:15" ht="14.1" customHeight="1" x14ac:dyDescent="0.25">
      <c r="B75" s="7" t="s">
        <v>21</v>
      </c>
      <c r="C75" s="7" t="s">
        <v>6</v>
      </c>
      <c r="D75" s="7" t="s">
        <v>6</v>
      </c>
      <c r="E75" s="7" t="s">
        <v>7</v>
      </c>
      <c r="F75" s="7" t="s">
        <v>8</v>
      </c>
      <c r="H75" s="7" t="s">
        <v>21</v>
      </c>
      <c r="I75" s="7" t="s">
        <v>6</v>
      </c>
      <c r="J75" s="7" t="s">
        <v>6</v>
      </c>
      <c r="K75" s="7" t="str">
        <f>J75</f>
        <v>$ / Month</v>
      </c>
      <c r="L75" s="7" t="s">
        <v>7</v>
      </c>
      <c r="M75" s="7" t="s">
        <v>8</v>
      </c>
      <c r="N75" s="7" t="s">
        <v>69</v>
      </c>
      <c r="O75" s="7" t="s">
        <v>8</v>
      </c>
    </row>
    <row r="76" spans="1:15" ht="14.1" customHeight="1" x14ac:dyDescent="0.25">
      <c r="A76" s="18">
        <f>ROUND(100*730*B76,0)</f>
        <v>18250</v>
      </c>
      <c r="B76" s="20">
        <v>0.25</v>
      </c>
      <c r="C76" s="27">
        <f>ROUND(29.89+50*9.77+IF(A76&lt;11000,+A76*0.08329,IF(A76&gt;(11000+8500),11000*0.08329+8500*0.05782+(A76-11000-8500)*0.03816,11000*0.08329+(A76-11000)*0.05782)),2)</f>
        <v>1853.78</v>
      </c>
      <c r="D76" s="21">
        <f>ROUND(30.89+50*10.1+IF(A76&lt;11000,+A76*0.08609,IF(A76&gt;(11000+8500),11000*0.08609+8500*0.05976+(A76-11000-8500)*0.03944,11000*0.08609+(A76-11000)*0.05976)),2)</f>
        <v>1916.14</v>
      </c>
      <c r="E76" s="21">
        <f>+D76-C76</f>
        <v>62.360000000000127</v>
      </c>
      <c r="F76" s="22">
        <f>+E76/C76</f>
        <v>3.3639374683080044E-2</v>
      </c>
      <c r="H76" s="23">
        <v>0.25</v>
      </c>
      <c r="I76" s="9">
        <f>+D76</f>
        <v>1916.14</v>
      </c>
      <c r="J76" s="9">
        <f>ROUND(33.33+50*10.9+IF(A76&lt;11000,+A76*0.09289,IF(A76&gt;(11000+8500),11000*0.09289+8500*0.06448+(A76-11000-8500)*0.04256,11000*0.09289+(A76-11000)*0.06448)),2)</f>
        <v>2067.6</v>
      </c>
      <c r="K76" s="9">
        <f>J76+A76*$I$43</f>
        <v>2130.1700065841037</v>
      </c>
      <c r="L76" s="9">
        <f>+J76-I76</f>
        <v>151.45999999999981</v>
      </c>
      <c r="M76" s="10">
        <f>+L76/I76</f>
        <v>7.9044328702495545E-2</v>
      </c>
      <c r="N76" s="11">
        <f>K76-I76</f>
        <v>214.0300065841036</v>
      </c>
      <c r="O76" s="16">
        <f>K76/I76-1</f>
        <v>0.1116985223334952</v>
      </c>
    </row>
    <row r="77" spans="1:15" ht="14.1" customHeight="1" x14ac:dyDescent="0.25">
      <c r="A77" s="18">
        <f t="shared" ref="A77:A79" si="18">ROUND(100*730*B77,0)</f>
        <v>36500</v>
      </c>
      <c r="B77" s="20">
        <v>0.5</v>
      </c>
      <c r="C77" s="27">
        <f t="shared" ref="C77:C79" si="19">ROUND(29.89+50*9.77+IF(A77&lt;11000,+A77*0.08329,IF(A77&gt;(11000+8500),11000*0.08329+8500*0.05782+(A77-11000-8500)*0.03816,11000*0.08329+(A77-11000)*0.05782)),2)</f>
        <v>2574.77</v>
      </c>
      <c r="D77" s="21">
        <f t="shared" ref="D77:D79" si="20">ROUND(30.89+50*10.1+IF(A77&lt;11000,+A77*0.08609,IF(A77&gt;(11000+8500),11000*0.08609+8500*0.05976+(A77-11000-8500)*0.03944,11000*0.08609+(A77-11000)*0.05976)),2)</f>
        <v>2661.32</v>
      </c>
      <c r="E77" s="21">
        <f>+D77-C77</f>
        <v>86.550000000000182</v>
      </c>
      <c r="F77" s="22">
        <f>+E77/C77</f>
        <v>3.3614652959293521E-2</v>
      </c>
      <c r="G77" s="24"/>
      <c r="H77" s="23">
        <v>0.5</v>
      </c>
      <c r="I77" s="9">
        <f>+D77</f>
        <v>2661.32</v>
      </c>
      <c r="J77" s="9">
        <f t="shared" ref="J77:J79" si="21">ROUND(33.33+50*10.9+IF(A77&lt;11000,+A77*0.09289,IF(A77&gt;(11000+8500),11000*0.09289+8500*0.06448+(A77-11000-8500)*0.04256,11000*0.09289+(A77-11000)*0.06448)),2)</f>
        <v>2871.72</v>
      </c>
      <c r="K77" s="9">
        <f t="shared" ref="K77:K79" si="22">J77+A77*$I$43</f>
        <v>2996.8600131682074</v>
      </c>
      <c r="L77" s="9">
        <f>+J77-I77</f>
        <v>210.39999999999964</v>
      </c>
      <c r="M77" s="10">
        <f>+L77/I77</f>
        <v>7.9058512317195836E-2</v>
      </c>
      <c r="N77" s="11">
        <f t="shared" ref="N77:N79" si="23">K77-I77</f>
        <v>335.54001316820722</v>
      </c>
      <c r="O77" s="16">
        <f t="shared" ref="O77:O79" si="24">K77/I77-1</f>
        <v>0.12608029593142023</v>
      </c>
    </row>
    <row r="78" spans="1:15" ht="14.1" customHeight="1" x14ac:dyDescent="0.25">
      <c r="A78" s="18">
        <f t="shared" si="18"/>
        <v>54750</v>
      </c>
      <c r="B78" s="20">
        <v>0.75</v>
      </c>
      <c r="C78" s="27">
        <f t="shared" si="19"/>
        <v>3271.19</v>
      </c>
      <c r="D78" s="21">
        <f t="shared" si="20"/>
        <v>3381.1</v>
      </c>
      <c r="E78" s="21">
        <f>+D78-C78</f>
        <v>109.90999999999985</v>
      </c>
      <c r="F78" s="22">
        <f>+E78/C78</f>
        <v>3.3599393492887868E-2</v>
      </c>
      <c r="G78" s="24"/>
      <c r="H78" s="23">
        <v>0.75</v>
      </c>
      <c r="I78" s="9">
        <f>+D78</f>
        <v>3381.1</v>
      </c>
      <c r="J78" s="9">
        <f t="shared" si="21"/>
        <v>3648.44</v>
      </c>
      <c r="K78" s="9">
        <f t="shared" si="22"/>
        <v>3836.1500197523114</v>
      </c>
      <c r="L78" s="9">
        <f>+J78-I78</f>
        <v>267.34000000000015</v>
      </c>
      <c r="M78" s="10">
        <f>+L78/I78</f>
        <v>7.9068942060276287E-2</v>
      </c>
      <c r="N78" s="11">
        <f t="shared" si="23"/>
        <v>455.05001975231153</v>
      </c>
      <c r="O78" s="16">
        <f t="shared" si="24"/>
        <v>0.13458638305649395</v>
      </c>
    </row>
    <row r="79" spans="1:15" ht="14.1" customHeight="1" x14ac:dyDescent="0.25">
      <c r="A79" s="18">
        <f t="shared" si="18"/>
        <v>73000</v>
      </c>
      <c r="B79" s="20">
        <v>1</v>
      </c>
      <c r="C79" s="27">
        <f t="shared" si="19"/>
        <v>3967.61</v>
      </c>
      <c r="D79" s="21">
        <f t="shared" si="20"/>
        <v>4100.88</v>
      </c>
      <c r="E79" s="21">
        <f>+D79-C79</f>
        <v>133.26999999999998</v>
      </c>
      <c r="F79" s="22">
        <f>+E79/C79</f>
        <v>3.3589490902583667E-2</v>
      </c>
      <c r="G79" s="24"/>
      <c r="H79" s="23">
        <v>1</v>
      </c>
      <c r="I79" s="9">
        <f>+D79</f>
        <v>4100.88</v>
      </c>
      <c r="J79" s="9">
        <f t="shared" si="21"/>
        <v>4425.16</v>
      </c>
      <c r="K79" s="9">
        <f t="shared" si="22"/>
        <v>4675.440026336415</v>
      </c>
      <c r="L79" s="9">
        <f>+J79-I79</f>
        <v>324.27999999999975</v>
      </c>
      <c r="M79" s="10">
        <f>+L79/I79</f>
        <v>7.9075710579192701E-2</v>
      </c>
      <c r="N79" s="11">
        <f t="shared" si="23"/>
        <v>574.56002633641492</v>
      </c>
      <c r="O79" s="16">
        <f t="shared" si="24"/>
        <v>0.14010652014602099</v>
      </c>
    </row>
    <row r="80" spans="1:15" ht="14.1" customHeight="1" x14ac:dyDescent="0.25">
      <c r="A80" s="1"/>
    </row>
    <row r="81" spans="1:15" ht="14.1" customHeight="1" x14ac:dyDescent="0.25">
      <c r="A81" s="1"/>
    </row>
    <row r="82" spans="1:15" ht="18" customHeight="1" x14ac:dyDescent="0.35">
      <c r="A82" s="1"/>
      <c r="B82" s="55" t="s">
        <v>0</v>
      </c>
      <c r="C82" s="55"/>
      <c r="D82" s="55"/>
      <c r="E82" s="55"/>
      <c r="F82" s="55"/>
      <c r="H82" s="55" t="s">
        <v>0</v>
      </c>
      <c r="I82" s="55"/>
      <c r="J82" s="55"/>
      <c r="K82" s="55"/>
      <c r="L82" s="55"/>
      <c r="M82" s="55"/>
    </row>
    <row r="83" spans="1:15" ht="18" customHeight="1" x14ac:dyDescent="0.35">
      <c r="A83" s="1"/>
      <c r="B83" s="28"/>
      <c r="C83" s="28"/>
      <c r="D83" s="28"/>
      <c r="E83" s="28"/>
      <c r="F83" s="28"/>
      <c r="H83" s="28"/>
      <c r="I83" s="28"/>
      <c r="J83" s="28"/>
      <c r="K83" s="52"/>
      <c r="L83" s="28"/>
      <c r="M83" s="28"/>
    </row>
    <row r="84" spans="1:15" ht="16.5" customHeight="1" x14ac:dyDescent="0.3">
      <c r="A84" s="1"/>
      <c r="B84" s="53" t="s">
        <v>23</v>
      </c>
      <c r="C84" s="53"/>
      <c r="D84" s="53"/>
      <c r="E84" s="53"/>
      <c r="F84" s="53"/>
      <c r="H84" s="53" t="s">
        <v>23</v>
      </c>
      <c r="I84" s="53"/>
      <c r="J84" s="53"/>
      <c r="K84" s="53"/>
      <c r="L84" s="53"/>
      <c r="M84" s="53"/>
    </row>
    <row r="85" spans="1:15" ht="18.75" customHeight="1" x14ac:dyDescent="0.3">
      <c r="A85" s="1"/>
      <c r="B85" s="53" t="s">
        <v>24</v>
      </c>
      <c r="C85" s="53"/>
      <c r="D85" s="53"/>
      <c r="E85" s="53"/>
      <c r="F85" s="53"/>
      <c r="H85" s="53" t="s">
        <v>24</v>
      </c>
      <c r="I85" s="53"/>
      <c r="J85" s="53"/>
      <c r="K85" s="53"/>
      <c r="L85" s="53"/>
      <c r="M85" s="53"/>
    </row>
    <row r="86" spans="1:15" ht="14.1" customHeight="1" x14ac:dyDescent="0.25">
      <c r="A86" s="1"/>
    </row>
    <row r="87" spans="1:15" ht="14.1" customHeight="1" x14ac:dyDescent="0.25">
      <c r="A87" s="1"/>
      <c r="B87" s="54" t="s">
        <v>25</v>
      </c>
      <c r="C87" s="54"/>
      <c r="H87" s="54" t="s">
        <v>57</v>
      </c>
      <c r="I87" s="54"/>
      <c r="N87" s="60" t="s">
        <v>70</v>
      </c>
      <c r="O87" s="60"/>
    </row>
    <row r="88" spans="1:15" ht="14.1" customHeight="1" x14ac:dyDescent="0.25">
      <c r="A88" s="1"/>
      <c r="N88" s="59"/>
      <c r="O88" s="59"/>
    </row>
    <row r="89" spans="1:15" ht="14.1" customHeight="1" x14ac:dyDescent="0.25">
      <c r="A89" s="1"/>
      <c r="B89" s="29"/>
      <c r="C89" s="6">
        <f>+$C$8</f>
        <v>42583</v>
      </c>
      <c r="D89" s="6">
        <f>+$D$8</f>
        <v>42948</v>
      </c>
      <c r="E89" s="29" t="s">
        <v>3</v>
      </c>
      <c r="F89" s="29" t="s">
        <v>4</v>
      </c>
      <c r="H89" s="5"/>
      <c r="I89" s="6">
        <f>+$I$8</f>
        <v>42948</v>
      </c>
      <c r="J89" s="6">
        <f>+$J$8</f>
        <v>43191</v>
      </c>
      <c r="K89" s="6" t="s">
        <v>64</v>
      </c>
      <c r="L89" s="5" t="s">
        <v>3</v>
      </c>
      <c r="M89" s="5" t="s">
        <v>4</v>
      </c>
      <c r="N89" s="5" t="s">
        <v>3</v>
      </c>
      <c r="O89" s="5" t="s">
        <v>4</v>
      </c>
    </row>
    <row r="90" spans="1:15" ht="14.1" customHeight="1" x14ac:dyDescent="0.25">
      <c r="A90" s="1"/>
      <c r="B90" s="30" t="s">
        <v>5</v>
      </c>
      <c r="C90" s="30" t="s">
        <v>11</v>
      </c>
      <c r="D90" s="30" t="s">
        <v>11</v>
      </c>
      <c r="E90" s="30" t="s">
        <v>12</v>
      </c>
      <c r="F90" s="30" t="s">
        <v>8</v>
      </c>
      <c r="H90" s="7" t="s">
        <v>5</v>
      </c>
      <c r="I90" s="7" t="s">
        <v>11</v>
      </c>
      <c r="J90" s="7" t="s">
        <v>11</v>
      </c>
      <c r="K90" s="7" t="str">
        <f>J90</f>
        <v>$ / Summer</v>
      </c>
      <c r="L90" s="7" t="s">
        <v>12</v>
      </c>
      <c r="M90" s="7" t="s">
        <v>8</v>
      </c>
      <c r="N90" s="7" t="s">
        <v>69</v>
      </c>
      <c r="O90" s="7" t="s">
        <v>8</v>
      </c>
    </row>
    <row r="91" spans="1:15" ht="14.1" customHeight="1" x14ac:dyDescent="0.25">
      <c r="A91" s="18">
        <f t="shared" ref="A91:A94" si="25">H91</f>
        <v>750</v>
      </c>
      <c r="B91" s="31">
        <v>750</v>
      </c>
      <c r="C91" s="27">
        <f>ROUND(254.4+IF(B91&lt;66000,+B91*0.08329,IF(B91&gt;=66000,66000*0.08329+(B91-66000)*0.05782)),2)</f>
        <v>316.87</v>
      </c>
      <c r="D91" s="27">
        <f>ROUND(262.92+IF(B91&lt;66000,+B91*0.08609,IF(B91&gt;=66000,66000*0.08609+(B91-66000)*0.05976)),2)</f>
        <v>327.49</v>
      </c>
      <c r="E91" s="19">
        <f>+D91-C91</f>
        <v>10.620000000000005</v>
      </c>
      <c r="F91" s="32">
        <f>+E91/C91</f>
        <v>3.3515321740776989E-2</v>
      </c>
      <c r="H91" s="8">
        <f>+B91</f>
        <v>750</v>
      </c>
      <c r="I91" s="9">
        <f>+D91</f>
        <v>327.49</v>
      </c>
      <c r="J91" s="9">
        <f>ROUND(283.68+IF(H91&lt;66000,+H91*0.09289,IF(H91&gt;=66000,66000*0.09289+(H91-66000)*0.06448)),2)</f>
        <v>353.35</v>
      </c>
      <c r="K91" s="9">
        <f>J91+A91*$I$43</f>
        <v>355.92137013359331</v>
      </c>
      <c r="L91" s="9">
        <f>+J91-I91</f>
        <v>25.860000000000014</v>
      </c>
      <c r="M91" s="10">
        <f>+L91/I91</f>
        <v>7.8964243182997995E-2</v>
      </c>
      <c r="N91" s="11">
        <f>K91-I91</f>
        <v>28.431370133593305</v>
      </c>
      <c r="O91" s="16">
        <f>K91/I91-1</f>
        <v>8.6815994789438689E-2</v>
      </c>
    </row>
    <row r="92" spans="1:15" ht="14.1" customHeight="1" x14ac:dyDescent="0.25">
      <c r="A92" s="18">
        <f t="shared" si="25"/>
        <v>2000</v>
      </c>
      <c r="B92" s="31">
        <v>2000</v>
      </c>
      <c r="C92" s="27">
        <f t="shared" ref="C92:C94" si="26">ROUND(254.4+IF(B92&lt;66000,+B92*0.08329,IF(B92&gt;=66000,66000*0.08329+(B92-66000)*0.05782)),2)</f>
        <v>420.98</v>
      </c>
      <c r="D92" s="27">
        <f t="shared" ref="D92:D94" si="27">ROUND(262.92+IF(B92&lt;66000,+B92*0.08609,IF(B92&gt;=66000,66000*0.08609+(B92-66000)*0.05976)),2)</f>
        <v>435.1</v>
      </c>
      <c r="E92" s="19">
        <f>+D92-C92</f>
        <v>14.120000000000005</v>
      </c>
      <c r="F92" s="32">
        <f>+E92/C92</f>
        <v>3.3540785785548019E-2</v>
      </c>
      <c r="H92" s="8">
        <f>+B92</f>
        <v>2000</v>
      </c>
      <c r="I92" s="9">
        <f>+D92</f>
        <v>435.1</v>
      </c>
      <c r="J92" s="9">
        <f t="shared" ref="J92:J94" si="28">ROUND(283.68+IF(H92&lt;66000,+H92*0.09289,IF(H92&gt;=66000,66000*0.09289+(H92-66000)*0.06448)),2)</f>
        <v>469.46</v>
      </c>
      <c r="K92" s="9">
        <f t="shared" ref="K92:K94" si="29">J92+A92*$I$43</f>
        <v>476.31698702291544</v>
      </c>
      <c r="L92" s="9">
        <f>+J92-I92</f>
        <v>34.359999999999957</v>
      </c>
      <c r="M92" s="10">
        <f>+L92/I92</f>
        <v>7.8970351643300282E-2</v>
      </c>
      <c r="N92" s="11">
        <f t="shared" ref="N92:N94" si="30">K92-I92</f>
        <v>41.216987022915418</v>
      </c>
      <c r="O92" s="16">
        <f t="shared" ref="O92:O94" si="31">K92/I92-1</f>
        <v>9.4729917313066903E-2</v>
      </c>
    </row>
    <row r="93" spans="1:15" ht="14.1" customHeight="1" x14ac:dyDescent="0.25">
      <c r="A93" s="18">
        <f t="shared" si="25"/>
        <v>5000</v>
      </c>
      <c r="B93" s="31">
        <v>5000</v>
      </c>
      <c r="C93" s="27">
        <f t="shared" si="26"/>
        <v>670.85</v>
      </c>
      <c r="D93" s="27">
        <f t="shared" si="27"/>
        <v>693.37</v>
      </c>
      <c r="E93" s="19">
        <f>+D93-C93</f>
        <v>22.519999999999982</v>
      </c>
      <c r="F93" s="32">
        <f>+E93/C93</f>
        <v>3.3569352314228189E-2</v>
      </c>
      <c r="H93" s="8">
        <f>+B93</f>
        <v>5000</v>
      </c>
      <c r="I93" s="9">
        <f>+D93</f>
        <v>693.37</v>
      </c>
      <c r="J93" s="9">
        <f t="shared" si="28"/>
        <v>748.13</v>
      </c>
      <c r="K93" s="9">
        <f t="shared" si="29"/>
        <v>765.27246755728868</v>
      </c>
      <c r="L93" s="9">
        <f>+J93-I93</f>
        <v>54.759999999999991</v>
      </c>
      <c r="M93" s="10">
        <f>+L93/I93</f>
        <v>7.8976592584046018E-2</v>
      </c>
      <c r="N93" s="11">
        <f t="shared" si="30"/>
        <v>71.902467557288674</v>
      </c>
      <c r="O93" s="16">
        <f t="shared" si="31"/>
        <v>0.10369999791927631</v>
      </c>
    </row>
    <row r="94" spans="1:15" ht="14.1" customHeight="1" x14ac:dyDescent="0.25">
      <c r="A94" s="18">
        <f t="shared" si="25"/>
        <v>10000</v>
      </c>
      <c r="B94" s="31">
        <v>10000</v>
      </c>
      <c r="C94" s="27">
        <f t="shared" si="26"/>
        <v>1087.3</v>
      </c>
      <c r="D94" s="27">
        <f t="shared" si="27"/>
        <v>1123.82</v>
      </c>
      <c r="E94" s="19">
        <f>+D94-C94</f>
        <v>36.519999999999982</v>
      </c>
      <c r="F94" s="32">
        <f>+E94/C94</f>
        <v>3.3587786259541973E-2</v>
      </c>
      <c r="H94" s="8">
        <f>+B94</f>
        <v>10000</v>
      </c>
      <c r="I94" s="9">
        <f>+D94</f>
        <v>1123.82</v>
      </c>
      <c r="J94" s="9">
        <f t="shared" si="28"/>
        <v>1212.58</v>
      </c>
      <c r="K94" s="9">
        <f t="shared" si="29"/>
        <v>1246.8649351145773</v>
      </c>
      <c r="L94" s="9">
        <f>+J94-I94</f>
        <v>88.759999999999991</v>
      </c>
      <c r="M94" s="10">
        <f>+L94/I94</f>
        <v>7.8980619672189487E-2</v>
      </c>
      <c r="N94" s="11">
        <f t="shared" si="30"/>
        <v>123.04493511457736</v>
      </c>
      <c r="O94" s="16">
        <f t="shared" si="31"/>
        <v>0.10948811652629198</v>
      </c>
    </row>
    <row r="95" spans="1:15" ht="14.1" customHeight="1" x14ac:dyDescent="0.25">
      <c r="A95" s="1"/>
    </row>
    <row r="96" spans="1:15" ht="14.1" customHeight="1" x14ac:dyDescent="0.25"/>
    <row r="97" spans="1:15" ht="17.25" customHeight="1" x14ac:dyDescent="0.3">
      <c r="B97" s="53" t="s">
        <v>23</v>
      </c>
      <c r="C97" s="53"/>
      <c r="D97" s="53"/>
      <c r="E97" s="53"/>
      <c r="F97" s="53"/>
      <c r="H97" s="53" t="s">
        <v>23</v>
      </c>
      <c r="I97" s="53"/>
      <c r="J97" s="53"/>
      <c r="K97" s="53"/>
      <c r="L97" s="53"/>
      <c r="M97" s="53"/>
    </row>
    <row r="98" spans="1:15" ht="17.25" customHeight="1" x14ac:dyDescent="0.3">
      <c r="B98" s="53" t="s">
        <v>13</v>
      </c>
      <c r="C98" s="53"/>
      <c r="D98" s="53"/>
      <c r="E98" s="53"/>
      <c r="F98" s="53"/>
      <c r="H98" s="53" t="s">
        <v>13</v>
      </c>
      <c r="I98" s="53"/>
      <c r="J98" s="53"/>
      <c r="K98" s="53"/>
      <c r="L98" s="53"/>
      <c r="M98" s="53"/>
    </row>
    <row r="99" spans="1:15" ht="14.1" customHeight="1" x14ac:dyDescent="0.25"/>
    <row r="100" spans="1:15" ht="14.1" customHeight="1" x14ac:dyDescent="0.25">
      <c r="B100" s="54" t="s">
        <v>26</v>
      </c>
      <c r="C100" s="54"/>
      <c r="H100" s="54" t="s">
        <v>58</v>
      </c>
      <c r="I100" s="54"/>
      <c r="N100" s="60" t="s">
        <v>70</v>
      </c>
      <c r="O100" s="60"/>
    </row>
    <row r="101" spans="1:15" ht="14.1" customHeight="1" x14ac:dyDescent="0.25">
      <c r="N101" s="59"/>
      <c r="O101" s="59"/>
    </row>
    <row r="102" spans="1:15" ht="14.1" customHeight="1" x14ac:dyDescent="0.25">
      <c r="B102" s="5"/>
      <c r="C102" s="6">
        <f>+$C$8</f>
        <v>42583</v>
      </c>
      <c r="D102" s="6">
        <f>+$D$8</f>
        <v>42948</v>
      </c>
      <c r="E102" s="5" t="s">
        <v>3</v>
      </c>
      <c r="F102" s="5" t="s">
        <v>4</v>
      </c>
      <c r="H102" s="5"/>
      <c r="I102" s="6">
        <f>+$I$8</f>
        <v>42948</v>
      </c>
      <c r="J102" s="6">
        <f>+$J$8</f>
        <v>43191</v>
      </c>
      <c r="K102" s="6" t="s">
        <v>64</v>
      </c>
      <c r="L102" s="5" t="s">
        <v>3</v>
      </c>
      <c r="M102" s="5" t="s">
        <v>4</v>
      </c>
      <c r="N102" s="5" t="s">
        <v>3</v>
      </c>
      <c r="O102" s="5" t="s">
        <v>4</v>
      </c>
    </row>
    <row r="103" spans="1:15" ht="14.1" customHeight="1" x14ac:dyDescent="0.25">
      <c r="B103" s="7" t="s">
        <v>5</v>
      </c>
      <c r="C103" s="7" t="s">
        <v>6</v>
      </c>
      <c r="D103" s="7" t="s">
        <v>6</v>
      </c>
      <c r="E103" s="7" t="s">
        <v>7</v>
      </c>
      <c r="F103" s="7" t="s">
        <v>8</v>
      </c>
      <c r="H103" s="7" t="s">
        <v>5</v>
      </c>
      <c r="I103" s="7" t="s">
        <v>6</v>
      </c>
      <c r="J103" s="7" t="s">
        <v>6</v>
      </c>
      <c r="K103" s="7" t="str">
        <f>J103</f>
        <v>$ / Month</v>
      </c>
      <c r="L103" s="7" t="s">
        <v>7</v>
      </c>
      <c r="M103" s="7" t="s">
        <v>8</v>
      </c>
      <c r="N103" s="7" t="s">
        <v>69</v>
      </c>
      <c r="O103" s="7" t="s">
        <v>8</v>
      </c>
    </row>
    <row r="104" spans="1:15" ht="14.1" customHeight="1" x14ac:dyDescent="0.25">
      <c r="A104" s="18">
        <f t="shared" ref="A104:A107" si="32">H104</f>
        <v>750</v>
      </c>
      <c r="B104" s="8">
        <v>750</v>
      </c>
      <c r="C104" s="27">
        <f>ROUND(21.2+IF(B104&lt;2000,+B104*0.08329,IF(B104&gt;=2000,2000*0.08329+(B104-2000)*0.42617)),2)</f>
        <v>83.67</v>
      </c>
      <c r="D104" s="27">
        <f>ROUND(21.91+IF(B104&lt;2000,+B104*0.08609,IF(B104&gt;=2000,2000*0.08609+(B104-2000)*0.42617)),2)</f>
        <v>86.48</v>
      </c>
      <c r="E104" s="9">
        <f>+D104-C104</f>
        <v>2.8100000000000023</v>
      </c>
      <c r="F104" s="10">
        <f>+E104/C104</f>
        <v>3.3584319349826725E-2</v>
      </c>
      <c r="H104" s="8">
        <f>+B104</f>
        <v>750</v>
      </c>
      <c r="I104" s="9">
        <f>+D104</f>
        <v>86.48</v>
      </c>
      <c r="J104" s="27">
        <f>ROUND(23.64+IF(H104&lt;2000,+H104*0.09289,IF(H104&gt;=2000,2000*0.09289+(H104-2000)*0.42617)),2)</f>
        <v>93.31</v>
      </c>
      <c r="K104" s="9">
        <f>J104+A104*$I$43</f>
        <v>95.881370133593308</v>
      </c>
      <c r="L104" s="9">
        <f>+J104-I104</f>
        <v>6.8299999999999983</v>
      </c>
      <c r="M104" s="10">
        <f>+L104/I104</f>
        <v>7.8977798334875088E-2</v>
      </c>
      <c r="N104" s="11">
        <f>K104-I104</f>
        <v>9.4013701335933035</v>
      </c>
      <c r="O104" s="16">
        <f>K104/I104-1</f>
        <v>0.10871149553183757</v>
      </c>
    </row>
    <row r="105" spans="1:15" ht="14.1" customHeight="1" x14ac:dyDescent="0.25">
      <c r="A105" s="18">
        <f t="shared" si="32"/>
        <v>2000</v>
      </c>
      <c r="B105" s="8">
        <v>2000</v>
      </c>
      <c r="C105" s="27">
        <f t="shared" ref="C105:C107" si="33">ROUND(21.2+IF(B105&lt;2000,+B105*0.08329,IF(B105&gt;=2000,2000*0.08329+(B105-2000)*0.42617)),2)</f>
        <v>187.78</v>
      </c>
      <c r="D105" s="27">
        <f t="shared" ref="D105:D107" si="34">ROUND(21.91+IF(B105&lt;2000,+B105*0.08609,IF(B105&gt;=2000,2000*0.08609+(B105-2000)*0.42617)),2)</f>
        <v>194.09</v>
      </c>
      <c r="E105" s="9">
        <f>+D105-C105</f>
        <v>6.3100000000000023</v>
      </c>
      <c r="F105" s="10">
        <f>+E105/C105</f>
        <v>3.3603152625412726E-2</v>
      </c>
      <c r="H105" s="8">
        <f>+B105</f>
        <v>2000</v>
      </c>
      <c r="I105" s="9">
        <f>+D105</f>
        <v>194.09</v>
      </c>
      <c r="J105" s="27">
        <f t="shared" ref="J105:J107" si="35">ROUND(23.64+IF(H105&lt;2000,+H105*0.09289,IF(H105&gt;=2000,2000*0.09289+(H105-2000)*0.42617)),2)</f>
        <v>209.42</v>
      </c>
      <c r="K105" s="9">
        <f t="shared" ref="K105:K107" si="36">J105+A105*$I$43</f>
        <v>216.27698702291548</v>
      </c>
      <c r="L105" s="9">
        <f>+J105-I105</f>
        <v>15.329999999999984</v>
      </c>
      <c r="M105" s="10">
        <f>+L105/I105</f>
        <v>7.898397650574468E-2</v>
      </c>
      <c r="N105" s="11">
        <f t="shared" ref="N105:N107" si="37">K105-I105</f>
        <v>22.186987022915474</v>
      </c>
      <c r="O105" s="16">
        <f t="shared" ref="O105:O107" si="38">K105/I105-1</f>
        <v>0.11431288074045787</v>
      </c>
    </row>
    <row r="106" spans="1:15" ht="14.1" customHeight="1" x14ac:dyDescent="0.25">
      <c r="A106" s="18">
        <f t="shared" si="32"/>
        <v>5000</v>
      </c>
      <c r="B106" s="8">
        <v>5000</v>
      </c>
      <c r="C106" s="27">
        <f t="shared" si="33"/>
        <v>1466.29</v>
      </c>
      <c r="D106" s="27">
        <f t="shared" si="34"/>
        <v>1472.6</v>
      </c>
      <c r="E106" s="9">
        <f>+D106-C106</f>
        <v>6.3099999999999454</v>
      </c>
      <c r="F106" s="10">
        <f>+E106/C106</f>
        <v>4.3033779129639741E-3</v>
      </c>
      <c r="H106" s="8">
        <f>+B106</f>
        <v>5000</v>
      </c>
      <c r="I106" s="9">
        <f>+D106</f>
        <v>1472.6</v>
      </c>
      <c r="J106" s="27">
        <f t="shared" si="35"/>
        <v>1487.93</v>
      </c>
      <c r="K106" s="9">
        <f t="shared" si="36"/>
        <v>1505.0724675572887</v>
      </c>
      <c r="L106" s="9">
        <f>+J106-I106</f>
        <v>15.330000000000155</v>
      </c>
      <c r="M106" s="10">
        <f>+L106/I106</f>
        <v>1.0410158902621321E-2</v>
      </c>
      <c r="N106" s="11">
        <f t="shared" si="37"/>
        <v>32.472467557288837</v>
      </c>
      <c r="O106" s="16">
        <f t="shared" si="38"/>
        <v>2.2051112017716257E-2</v>
      </c>
    </row>
    <row r="107" spans="1:15" ht="14.1" customHeight="1" x14ac:dyDescent="0.25">
      <c r="A107" s="18">
        <f t="shared" si="32"/>
        <v>10000</v>
      </c>
      <c r="B107" s="8">
        <v>10000</v>
      </c>
      <c r="C107" s="27">
        <f t="shared" si="33"/>
        <v>3597.14</v>
      </c>
      <c r="D107" s="27">
        <f t="shared" si="34"/>
        <v>3603.45</v>
      </c>
      <c r="E107" s="9">
        <f>+D107-C107</f>
        <v>6.3099999999999454</v>
      </c>
      <c r="F107" s="10">
        <f>+E107/C107</f>
        <v>1.754171369476847E-3</v>
      </c>
      <c r="H107" s="8">
        <f>+B107</f>
        <v>10000</v>
      </c>
      <c r="I107" s="9">
        <f>+D107</f>
        <v>3603.45</v>
      </c>
      <c r="J107" s="27">
        <f t="shared" si="35"/>
        <v>3618.78</v>
      </c>
      <c r="K107" s="9">
        <f t="shared" si="36"/>
        <v>3653.0649351145776</v>
      </c>
      <c r="L107" s="9">
        <f>+J107-I107</f>
        <v>15.330000000000382</v>
      </c>
      <c r="M107" s="10">
        <f>+L107/I107</f>
        <v>4.2542563376764993E-3</v>
      </c>
      <c r="N107" s="11">
        <f t="shared" si="37"/>
        <v>49.614935114577747</v>
      </c>
      <c r="O107" s="16">
        <f t="shared" si="38"/>
        <v>1.3768731386470723E-2</v>
      </c>
    </row>
    <row r="108" spans="1:15" ht="14.1" customHeight="1" x14ac:dyDescent="0.25"/>
    <row r="109" spans="1:15" ht="14.1" customHeight="1" x14ac:dyDescent="0.25"/>
    <row r="110" spans="1:15" ht="18.75" customHeight="1" x14ac:dyDescent="0.3">
      <c r="B110" s="53" t="s">
        <v>23</v>
      </c>
      <c r="C110" s="53"/>
      <c r="D110" s="53"/>
      <c r="E110" s="53"/>
      <c r="F110" s="53"/>
      <c r="H110" s="53" t="s">
        <v>23</v>
      </c>
      <c r="I110" s="53"/>
      <c r="J110" s="53"/>
      <c r="K110" s="53"/>
      <c r="L110" s="53"/>
      <c r="M110" s="53"/>
    </row>
    <row r="111" spans="1:15" s="2" customFormat="1" ht="18.75" customHeight="1" x14ac:dyDescent="0.3">
      <c r="A111" s="34"/>
      <c r="B111" s="56" t="s">
        <v>27</v>
      </c>
      <c r="C111" s="56"/>
      <c r="D111" s="56"/>
      <c r="E111" s="56"/>
      <c r="F111" s="56"/>
      <c r="H111" s="56" t="str">
        <f>+B111</f>
        <v xml:space="preserve"> Government and First Nation Education</v>
      </c>
      <c r="I111" s="56"/>
      <c r="J111" s="56"/>
      <c r="K111" s="56"/>
      <c r="L111" s="56"/>
      <c r="M111" s="56"/>
    </row>
    <row r="112" spans="1:15" ht="14.1" customHeight="1" x14ac:dyDescent="0.25"/>
    <row r="113" spans="1:15" ht="14.1" customHeight="1" x14ac:dyDescent="0.25">
      <c r="B113" s="54" t="s">
        <v>28</v>
      </c>
      <c r="C113" s="54"/>
      <c r="H113" s="54" t="s">
        <v>28</v>
      </c>
      <c r="I113" s="54"/>
      <c r="N113" s="60" t="s">
        <v>70</v>
      </c>
      <c r="O113" s="60"/>
    </row>
    <row r="114" spans="1:15" ht="14.1" customHeight="1" x14ac:dyDescent="0.25">
      <c r="N114" s="59"/>
      <c r="O114" s="59"/>
    </row>
    <row r="115" spans="1:15" ht="14.1" customHeight="1" x14ac:dyDescent="0.25">
      <c r="B115" s="5"/>
      <c r="C115" s="6">
        <f>+$C$8</f>
        <v>42583</v>
      </c>
      <c r="D115" s="6">
        <f>+$D$8</f>
        <v>42948</v>
      </c>
      <c r="E115" s="5" t="s">
        <v>3</v>
      </c>
      <c r="F115" s="5" t="s">
        <v>4</v>
      </c>
      <c r="H115" s="5"/>
      <c r="I115" s="6">
        <f>+$I$8</f>
        <v>42948</v>
      </c>
      <c r="J115" s="6">
        <f>+$J$8</f>
        <v>43191</v>
      </c>
      <c r="K115" s="6" t="s">
        <v>64</v>
      </c>
      <c r="L115" s="5" t="s">
        <v>3</v>
      </c>
      <c r="M115" s="5" t="s">
        <v>4</v>
      </c>
      <c r="N115" s="5" t="s">
        <v>3</v>
      </c>
      <c r="O115" s="5" t="s">
        <v>4</v>
      </c>
    </row>
    <row r="116" spans="1:15" ht="14.1" customHeight="1" x14ac:dyDescent="0.25">
      <c r="B116" s="7" t="s">
        <v>5</v>
      </c>
      <c r="C116" s="7" t="s">
        <v>6</v>
      </c>
      <c r="D116" s="7" t="s">
        <v>6</v>
      </c>
      <c r="E116" s="7" t="s">
        <v>7</v>
      </c>
      <c r="F116" s="7" t="s">
        <v>8</v>
      </c>
      <c r="H116" s="7" t="s">
        <v>5</v>
      </c>
      <c r="I116" s="7" t="s">
        <v>6</v>
      </c>
      <c r="J116" s="7" t="s">
        <v>6</v>
      </c>
      <c r="K116" s="7" t="str">
        <f>J116</f>
        <v>$ / Month</v>
      </c>
      <c r="L116" s="7" t="s">
        <v>7</v>
      </c>
      <c r="M116" s="7" t="s">
        <v>8</v>
      </c>
      <c r="N116" s="7" t="s">
        <v>69</v>
      </c>
      <c r="O116" s="7" t="s">
        <v>8</v>
      </c>
    </row>
    <row r="117" spans="1:15" ht="14.1" customHeight="1" x14ac:dyDescent="0.25">
      <c r="A117" s="18">
        <f t="shared" ref="A117:A120" si="39">H117</f>
        <v>750</v>
      </c>
      <c r="B117" s="8">
        <v>750</v>
      </c>
      <c r="C117" s="50">
        <f>ROUND(21.2+B117*2.59382,2)</f>
        <v>1966.57</v>
      </c>
      <c r="D117" s="50">
        <f>ROUND(21.91+B117*2.59382,2)</f>
        <v>1967.28</v>
      </c>
      <c r="E117" s="9">
        <f>+D117-C117</f>
        <v>0.71000000000003638</v>
      </c>
      <c r="F117" s="10">
        <f>+E117/C117</f>
        <v>3.6103469492570128E-4</v>
      </c>
      <c r="H117" s="8">
        <f>+B117</f>
        <v>750</v>
      </c>
      <c r="I117" s="9">
        <f>+D117</f>
        <v>1967.28</v>
      </c>
      <c r="J117" s="27">
        <f>ROUND(23.64+H117*2.59382,2)</f>
        <v>1969.01</v>
      </c>
      <c r="K117" s="9">
        <f>J117+A117*$I$43</f>
        <v>1971.5813701335933</v>
      </c>
      <c r="L117" s="9">
        <f>+J117-I117</f>
        <v>1.7300000000000182</v>
      </c>
      <c r="M117" s="10">
        <f>+L117/I117</f>
        <v>8.7938676751658036E-4</v>
      </c>
      <c r="N117" s="11">
        <f>K117-I117</f>
        <v>4.3013701335933092</v>
      </c>
      <c r="O117" s="16">
        <f>K117/I117-1</f>
        <v>2.1864554784236656E-3</v>
      </c>
    </row>
    <row r="118" spans="1:15" ht="14.1" customHeight="1" x14ac:dyDescent="0.25">
      <c r="A118" s="18">
        <f t="shared" si="39"/>
        <v>2000</v>
      </c>
      <c r="B118" s="8">
        <v>2000</v>
      </c>
      <c r="C118" s="50">
        <f t="shared" ref="C118:C120" si="40">ROUND(21.2+B118*2.59382,2)</f>
        <v>5208.84</v>
      </c>
      <c r="D118" s="50">
        <f t="shared" ref="D118:D120" si="41">ROUND(21.91+B118*2.59382,2)</f>
        <v>5209.55</v>
      </c>
      <c r="E118" s="9">
        <f>+D118-C118</f>
        <v>0.71000000000003638</v>
      </c>
      <c r="F118" s="10">
        <f>+E118/C118</f>
        <v>1.3630674008033197E-4</v>
      </c>
      <c r="H118" s="8">
        <f>+B118</f>
        <v>2000</v>
      </c>
      <c r="I118" s="9">
        <f>+D118</f>
        <v>5209.55</v>
      </c>
      <c r="J118" s="27">
        <f t="shared" ref="J118:J120" si="42">ROUND(23.64+H118*2.59382,2)</f>
        <v>5211.28</v>
      </c>
      <c r="K118" s="9">
        <f t="shared" ref="K118:K120" si="43">J118+A118*$I$43</f>
        <v>5218.1369870229155</v>
      </c>
      <c r="L118" s="9">
        <f>+J118-I118</f>
        <v>1.7299999999995634</v>
      </c>
      <c r="M118" s="10">
        <f>+L118/I118</f>
        <v>3.3208242554530877E-4</v>
      </c>
      <c r="N118" s="11">
        <f t="shared" ref="N118:N120" si="44">K118-I118</f>
        <v>8.5869870229153094</v>
      </c>
      <c r="O118" s="16">
        <f t="shared" ref="O118:O120" si="45">K118/I118-1</f>
        <v>1.6483164616742929E-3</v>
      </c>
    </row>
    <row r="119" spans="1:15" ht="14.1" customHeight="1" x14ac:dyDescent="0.25">
      <c r="A119" s="18">
        <f t="shared" si="39"/>
        <v>5000</v>
      </c>
      <c r="B119" s="8">
        <v>5000</v>
      </c>
      <c r="C119" s="50">
        <f t="shared" si="40"/>
        <v>12990.3</v>
      </c>
      <c r="D119" s="50">
        <f t="shared" si="41"/>
        <v>12991.01</v>
      </c>
      <c r="E119" s="9">
        <f>+D119-C119</f>
        <v>0.71000000000094587</v>
      </c>
      <c r="F119" s="10">
        <f>+E119/C119</f>
        <v>5.4656166524325531E-5</v>
      </c>
      <c r="H119" s="8">
        <f>+B119</f>
        <v>5000</v>
      </c>
      <c r="I119" s="9">
        <f>+D119</f>
        <v>12991.01</v>
      </c>
      <c r="J119" s="27">
        <f t="shared" si="42"/>
        <v>12992.74</v>
      </c>
      <c r="K119" s="9">
        <f t="shared" si="43"/>
        <v>13009.882467557289</v>
      </c>
      <c r="L119" s="9">
        <f>+J119-I119</f>
        <v>1.7299999999995634</v>
      </c>
      <c r="M119" s="10">
        <f>+L119/I119</f>
        <v>1.3316901457235145E-4</v>
      </c>
      <c r="N119" s="11">
        <f t="shared" si="44"/>
        <v>18.872467557288473</v>
      </c>
      <c r="O119" s="16">
        <f t="shared" si="45"/>
        <v>1.4527328943083617E-3</v>
      </c>
    </row>
    <row r="120" spans="1:15" ht="14.1" customHeight="1" x14ac:dyDescent="0.25">
      <c r="A120" s="18">
        <f t="shared" si="39"/>
        <v>10000</v>
      </c>
      <c r="B120" s="8">
        <v>10000</v>
      </c>
      <c r="C120" s="50">
        <f t="shared" si="40"/>
        <v>25959.4</v>
      </c>
      <c r="D120" s="50">
        <f t="shared" si="41"/>
        <v>25960.11</v>
      </c>
      <c r="E120" s="9">
        <f>+D120-C120</f>
        <v>0.70999999999912689</v>
      </c>
      <c r="F120" s="10">
        <f>+E120/C120</f>
        <v>2.7350401010775551E-5</v>
      </c>
      <c r="H120" s="8">
        <f>+B120</f>
        <v>10000</v>
      </c>
      <c r="I120" s="9">
        <f>+D120</f>
        <v>25960.11</v>
      </c>
      <c r="J120" s="27">
        <f t="shared" si="42"/>
        <v>25961.84</v>
      </c>
      <c r="K120" s="9">
        <f t="shared" si="43"/>
        <v>25996.124935114578</v>
      </c>
      <c r="L120" s="9">
        <f>+J120-I120</f>
        <v>1.7299999999995634</v>
      </c>
      <c r="M120" s="10">
        <f>+L120/I120</f>
        <v>6.6640703756631366E-5</v>
      </c>
      <c r="N120" s="11">
        <f t="shared" si="44"/>
        <v>36.014935114577384</v>
      </c>
      <c r="O120" s="16">
        <f t="shared" si="45"/>
        <v>1.3873182784887028E-3</v>
      </c>
    </row>
    <row r="121" spans="1:15" ht="14.1" customHeight="1" x14ac:dyDescent="0.25"/>
    <row r="122" spans="1:15" ht="14.1" customHeight="1" x14ac:dyDescent="0.25"/>
    <row r="123" spans="1:15" ht="18.75" customHeight="1" x14ac:dyDescent="0.35">
      <c r="B123" s="55" t="s">
        <v>0</v>
      </c>
      <c r="C123" s="55"/>
      <c r="D123" s="55"/>
      <c r="E123" s="55"/>
      <c r="F123" s="55"/>
      <c r="H123" s="55" t="s">
        <v>0</v>
      </c>
      <c r="I123" s="55"/>
      <c r="J123" s="55"/>
      <c r="K123" s="55"/>
      <c r="L123" s="55"/>
      <c r="M123" s="55"/>
    </row>
    <row r="124" spans="1:15" ht="14.1" customHeight="1" x14ac:dyDescent="0.25"/>
    <row r="125" spans="1:15" s="37" customFormat="1" ht="18" customHeight="1" x14ac:dyDescent="0.3">
      <c r="A125" s="36"/>
      <c r="B125" s="53" t="s">
        <v>29</v>
      </c>
      <c r="C125" s="53"/>
      <c r="D125" s="53"/>
      <c r="E125" s="53"/>
      <c r="F125" s="53"/>
      <c r="H125" s="53" t="str">
        <f>+B125</f>
        <v>General Service Medium</v>
      </c>
      <c r="I125" s="53"/>
      <c r="J125" s="53"/>
      <c r="K125" s="53"/>
      <c r="L125" s="53"/>
      <c r="M125" s="53"/>
    </row>
    <row r="126" spans="1:15" s="37" customFormat="1" ht="18" customHeight="1" x14ac:dyDescent="0.3">
      <c r="A126" s="36"/>
      <c r="B126" s="53" t="s">
        <v>30</v>
      </c>
      <c r="C126" s="53"/>
      <c r="D126" s="53"/>
      <c r="E126" s="53"/>
      <c r="F126" s="53"/>
      <c r="H126" s="53" t="s">
        <v>30</v>
      </c>
      <c r="I126" s="53"/>
      <c r="J126" s="53"/>
      <c r="K126" s="53"/>
      <c r="L126" s="53"/>
      <c r="M126" s="53"/>
    </row>
    <row r="127" spans="1:15" ht="14.1" customHeight="1" x14ac:dyDescent="0.25"/>
    <row r="128" spans="1:15" ht="14.1" customHeight="1" x14ac:dyDescent="0.25">
      <c r="B128" s="54" t="s">
        <v>31</v>
      </c>
      <c r="C128" s="54"/>
      <c r="H128" s="54" t="s">
        <v>59</v>
      </c>
      <c r="I128" s="54"/>
      <c r="N128" s="60" t="s">
        <v>70</v>
      </c>
      <c r="O128" s="60"/>
    </row>
    <row r="129" spans="1:15" ht="14.1" customHeight="1" x14ac:dyDescent="0.25">
      <c r="N129" s="59"/>
      <c r="O129" s="59"/>
    </row>
    <row r="130" spans="1:15" ht="14.1" customHeight="1" x14ac:dyDescent="0.25">
      <c r="B130" s="5" t="s">
        <v>20</v>
      </c>
      <c r="C130" s="6">
        <f>+$C$8</f>
        <v>42583</v>
      </c>
      <c r="D130" s="6">
        <f>+$D$8</f>
        <v>42948</v>
      </c>
      <c r="E130" s="5" t="s">
        <v>3</v>
      </c>
      <c r="F130" s="5" t="s">
        <v>4</v>
      </c>
      <c r="H130" s="5" t="s">
        <v>20</v>
      </c>
      <c r="I130" s="6">
        <f>+$I$8</f>
        <v>42948</v>
      </c>
      <c r="J130" s="6">
        <f>+$J$8</f>
        <v>43191</v>
      </c>
      <c r="K130" s="6" t="s">
        <v>64</v>
      </c>
      <c r="L130" s="5" t="s">
        <v>3</v>
      </c>
      <c r="M130" s="5" t="s">
        <v>4</v>
      </c>
      <c r="N130" s="5" t="s">
        <v>3</v>
      </c>
      <c r="O130" s="5" t="s">
        <v>4</v>
      </c>
    </row>
    <row r="131" spans="1:15" ht="14.1" customHeight="1" x14ac:dyDescent="0.25">
      <c r="B131" s="7" t="s">
        <v>21</v>
      </c>
      <c r="C131" s="7" t="s">
        <v>6</v>
      </c>
      <c r="D131" s="7" t="s">
        <v>6</v>
      </c>
      <c r="E131" s="7" t="s">
        <v>7</v>
      </c>
      <c r="F131" s="7" t="s">
        <v>8</v>
      </c>
      <c r="H131" s="7" t="s">
        <v>21</v>
      </c>
      <c r="I131" s="7" t="s">
        <v>6</v>
      </c>
      <c r="J131" s="7" t="s">
        <v>6</v>
      </c>
      <c r="K131" s="7" t="str">
        <f>J131</f>
        <v>$ / Month</v>
      </c>
      <c r="L131" s="7" t="s">
        <v>7</v>
      </c>
      <c r="M131" s="7" t="s">
        <v>8</v>
      </c>
      <c r="N131" s="7" t="s">
        <v>69</v>
      </c>
      <c r="O131" s="7" t="s">
        <v>8</v>
      </c>
    </row>
    <row r="132" spans="1:15" ht="14.1" customHeight="1" x14ac:dyDescent="0.25">
      <c r="A132" s="18">
        <f>ROUND(500*730*B132,0)</f>
        <v>91250</v>
      </c>
      <c r="B132" s="23">
        <v>0.25</v>
      </c>
      <c r="C132" s="35">
        <f>ROUND(31.55+450*9.77+IF(A132&lt;11000,+A132*0.08329,IF(A132&gt;(11000+8500),11000*0.08329+8500*0.05782+(A132-11000-8500)*0.03816,11000*0.08329+(A132-11000)*0.05782)),0)</f>
        <v>8574</v>
      </c>
      <c r="D132" s="35">
        <f>ROUND(32.61+450*10.1+IF(A132&lt;11000,+A132*0.08609,IF(A132&gt;(11000+8500),11000*0.08609+8500*0.05976+(A132-11000-8500)*0.03944,11000*0.08609+(A132-11000)*0.05976)),0)</f>
        <v>8862</v>
      </c>
      <c r="E132" s="38">
        <f>+D132-C132</f>
        <v>288</v>
      </c>
      <c r="F132" s="10">
        <f>+E132/C132</f>
        <v>3.358992302309307E-2</v>
      </c>
      <c r="H132" s="23">
        <v>0.25</v>
      </c>
      <c r="I132" s="38">
        <f>+D132</f>
        <v>8862</v>
      </c>
      <c r="J132" s="35">
        <f>ROUND(35.19+450*10.9+IF(A132&lt;11000,+A132*0.09289,IF(A132&gt;(11000+8500),11000*0.09289+8500*0.06448+(A132-11000-8500)*0.04256,11000*0.09289+(A132-11000)*0.06448)),0)</f>
        <v>9564</v>
      </c>
      <c r="K132" s="9">
        <f>J132+A132*$I$43</f>
        <v>9876.8500329205181</v>
      </c>
      <c r="L132" s="38">
        <f>+J132-I132</f>
        <v>702</v>
      </c>
      <c r="M132" s="10">
        <f>+L132/I132</f>
        <v>7.9214624238320916E-2</v>
      </c>
      <c r="N132" s="11">
        <f>K132-I132</f>
        <v>1014.8500329205181</v>
      </c>
      <c r="O132" s="16">
        <f>K132/I132-1</f>
        <v>0.11451704275790098</v>
      </c>
    </row>
    <row r="133" spans="1:15" ht="14.1" customHeight="1" x14ac:dyDescent="0.25">
      <c r="A133" s="18">
        <f t="shared" ref="A133:A135" si="46">ROUND(500*730*B133,0)</f>
        <v>182500</v>
      </c>
      <c r="B133" s="23">
        <v>0.5</v>
      </c>
      <c r="C133" s="35">
        <f t="shared" ref="C133:C135" si="47">ROUND(31.55+450*9.77+IF(A133&lt;11000,+A133*0.08329,IF(A133&gt;(11000+8500),11000*0.08329+8500*0.05782+(A133-11000-8500)*0.03816,11000*0.08329+(A133-11000)*0.05782)),0)</f>
        <v>12056</v>
      </c>
      <c r="D133" s="35">
        <f>ROUND(32.61+450*10.1+IF(A133&lt;11000,+A133*0.08609,IF(A133&gt;(11000+8500),11000*0.08609+8500*0.05976+(A133-11000-8500)*0.03944,11000*0.08609+(A133-11000)*0.05976)),0)</f>
        <v>12461</v>
      </c>
      <c r="E133" s="38">
        <f>+D133-C133</f>
        <v>405</v>
      </c>
      <c r="F133" s="10">
        <f>+E133/C133</f>
        <v>3.3593231585932318E-2</v>
      </c>
      <c r="H133" s="23">
        <v>0.5</v>
      </c>
      <c r="I133" s="38">
        <f>+D133</f>
        <v>12461</v>
      </c>
      <c r="J133" s="35">
        <f>ROUND(35.19+450*10.9+IF(A133&lt;11000,+A133*0.09289,IF(A133&gt;(11000+8500),11000*0.09289+8500*0.06448+(A133-11000-8500)*0.04256,11000*0.09289+(A133-11000)*0.06448)),0)</f>
        <v>13447</v>
      </c>
      <c r="K133" s="9">
        <f t="shared" ref="K133:K135" si="48">J133+A133*$I$43</f>
        <v>14072.700065841038</v>
      </c>
      <c r="L133" s="38">
        <f>+J133-I133</f>
        <v>986</v>
      </c>
      <c r="M133" s="10">
        <f>+L133/I133</f>
        <v>7.9126875852660303E-2</v>
      </c>
      <c r="N133" s="11">
        <f t="shared" ref="N133:N135" si="49">K133-I133</f>
        <v>1611.7000658410379</v>
      </c>
      <c r="O133" s="16">
        <f t="shared" ref="O133:O135" si="50">K133/I133-1</f>
        <v>0.12933954464658037</v>
      </c>
    </row>
    <row r="134" spans="1:15" ht="14.1" customHeight="1" x14ac:dyDescent="0.25">
      <c r="A134" s="18">
        <f t="shared" si="46"/>
        <v>273750</v>
      </c>
      <c r="B134" s="23">
        <v>0.75</v>
      </c>
      <c r="C134" s="35">
        <f t="shared" si="47"/>
        <v>15538</v>
      </c>
      <c r="D134" s="35">
        <f>ROUND(32.61+450*10.1+IF(A134&lt;11000,+A134*0.08609,IF(A134&gt;(11000+8500),11000*0.08609+8500*0.05976+(A134-11000-8500)*0.03944,11000*0.08609+(A134-11000)*0.05976)),0)</f>
        <v>16060</v>
      </c>
      <c r="E134" s="38">
        <f>+D134-C134</f>
        <v>522</v>
      </c>
      <c r="F134" s="10">
        <f>+E134/C134</f>
        <v>3.3595057278929079E-2</v>
      </c>
      <c r="H134" s="23">
        <v>0.75</v>
      </c>
      <c r="I134" s="38">
        <f>+D134</f>
        <v>16060</v>
      </c>
      <c r="J134" s="35">
        <f>ROUND(35.19+450*10.9+IF(A134&lt;11000,+A134*0.09289,IF(A134&gt;(11000+8500),11000*0.09289+8500*0.06448+(A134-11000-8500)*0.04256,11000*0.09289+(A134-11000)*0.06448)),0)</f>
        <v>17331</v>
      </c>
      <c r="K134" s="9">
        <f t="shared" si="48"/>
        <v>18269.550098761556</v>
      </c>
      <c r="L134" s="38">
        <f>+J134-I134</f>
        <v>1271</v>
      </c>
      <c r="M134" s="10">
        <f>+L134/I134</f>
        <v>7.9140722291407228E-2</v>
      </c>
      <c r="N134" s="11">
        <f t="shared" si="49"/>
        <v>2209.550098761556</v>
      </c>
      <c r="O134" s="16">
        <f t="shared" si="50"/>
        <v>0.13758095260034597</v>
      </c>
    </row>
    <row r="135" spans="1:15" ht="14.1" customHeight="1" x14ac:dyDescent="0.25">
      <c r="A135" s="18">
        <f t="shared" si="46"/>
        <v>365000</v>
      </c>
      <c r="B135" s="23">
        <v>1</v>
      </c>
      <c r="C135" s="35">
        <f t="shared" si="47"/>
        <v>19020</v>
      </c>
      <c r="D135" s="35">
        <f>ROUND(32.61+450*10.1+IF(A135&lt;11000,+A135*0.08609,IF(A135&gt;(11000+8500),11000*0.08609+8500*0.05976+(A135-11000-8500)*0.03944,11000*0.08609+(A135-11000)*0.05976)),0)</f>
        <v>19659</v>
      </c>
      <c r="E135" s="38">
        <f>+D135-C135</f>
        <v>639</v>
      </c>
      <c r="F135" s="10">
        <f>+E135/C135</f>
        <v>3.3596214511041007E-2</v>
      </c>
      <c r="H135" s="23">
        <v>1</v>
      </c>
      <c r="I135" s="38">
        <f>+D135</f>
        <v>19659</v>
      </c>
      <c r="J135" s="35">
        <f>ROUND(35.19+450*10.9+IF(A135&lt;11000,+A135*0.09289,IF(A135&gt;(11000+8500),11000*0.09289+8500*0.06448+(A135-11000-8500)*0.04256,11000*0.09289+(A135-11000)*0.06448)),0)</f>
        <v>21215</v>
      </c>
      <c r="K135" s="9">
        <f t="shared" si="48"/>
        <v>22466.400131682076</v>
      </c>
      <c r="L135" s="38">
        <f>+J135-I135</f>
        <v>1556</v>
      </c>
      <c r="M135" s="10">
        <f>+L135/I135</f>
        <v>7.9149498957220607E-2</v>
      </c>
      <c r="N135" s="11">
        <f t="shared" si="49"/>
        <v>2807.4001316820759</v>
      </c>
      <c r="O135" s="16">
        <f t="shared" si="50"/>
        <v>0.14280482891714108</v>
      </c>
    </row>
    <row r="136" spans="1:15" ht="14.1" customHeight="1" x14ac:dyDescent="0.25">
      <c r="B136" s="39"/>
      <c r="M136" s="25"/>
    </row>
    <row r="137" spans="1:15" ht="14.1" customHeight="1" x14ac:dyDescent="0.25">
      <c r="E137" s="11"/>
      <c r="F137" s="40"/>
    </row>
    <row r="138" spans="1:15" ht="14.1" customHeight="1" x14ac:dyDescent="0.25"/>
    <row r="139" spans="1:15" s="37" customFormat="1" ht="18" customHeight="1" x14ac:dyDescent="0.3">
      <c r="A139" s="36"/>
      <c r="B139" s="53" t="s">
        <v>29</v>
      </c>
      <c r="C139" s="53"/>
      <c r="D139" s="53"/>
      <c r="E139" s="53"/>
      <c r="F139" s="53"/>
      <c r="H139" s="53" t="str">
        <f>+B139</f>
        <v>General Service Medium</v>
      </c>
      <c r="I139" s="53"/>
      <c r="J139" s="53"/>
      <c r="K139" s="53"/>
      <c r="L139" s="53"/>
      <c r="M139" s="53"/>
    </row>
    <row r="140" spans="1:15" s="37" customFormat="1" ht="18" customHeight="1" x14ac:dyDescent="0.3">
      <c r="A140" s="36"/>
      <c r="B140" s="53" t="s">
        <v>32</v>
      </c>
      <c r="C140" s="53"/>
      <c r="D140" s="53"/>
      <c r="E140" s="53"/>
      <c r="F140" s="53"/>
      <c r="H140" s="53" t="s">
        <v>32</v>
      </c>
      <c r="I140" s="53"/>
      <c r="J140" s="53"/>
      <c r="K140" s="53"/>
      <c r="L140" s="53"/>
      <c r="M140" s="53"/>
    </row>
    <row r="141" spans="1:15" ht="14.1" customHeight="1" x14ac:dyDescent="0.25"/>
    <row r="142" spans="1:15" ht="14.1" customHeight="1" x14ac:dyDescent="0.25">
      <c r="B142" s="54" t="s">
        <v>31</v>
      </c>
      <c r="C142" s="54"/>
      <c r="H142" s="54" t="s">
        <v>59</v>
      </c>
      <c r="I142" s="54"/>
      <c r="N142" s="60" t="s">
        <v>70</v>
      </c>
      <c r="O142" s="60"/>
    </row>
    <row r="143" spans="1:15" ht="14.1" customHeight="1" x14ac:dyDescent="0.25">
      <c r="N143" s="59"/>
      <c r="O143" s="59"/>
    </row>
    <row r="144" spans="1:15" ht="14.1" customHeight="1" x14ac:dyDescent="0.25">
      <c r="B144" s="5" t="s">
        <v>20</v>
      </c>
      <c r="C144" s="6">
        <f>+$C$8</f>
        <v>42583</v>
      </c>
      <c r="D144" s="6">
        <f>+$D$8</f>
        <v>42948</v>
      </c>
      <c r="E144" s="5" t="s">
        <v>3</v>
      </c>
      <c r="F144" s="5" t="s">
        <v>4</v>
      </c>
      <c r="H144" s="5" t="s">
        <v>20</v>
      </c>
      <c r="I144" s="6">
        <f>+$I$8</f>
        <v>42948</v>
      </c>
      <c r="J144" s="6">
        <f>+$J$8</f>
        <v>43191</v>
      </c>
      <c r="K144" s="6" t="s">
        <v>64</v>
      </c>
      <c r="L144" s="5" t="s">
        <v>3</v>
      </c>
      <c r="M144" s="5" t="s">
        <v>4</v>
      </c>
      <c r="N144" s="5" t="s">
        <v>3</v>
      </c>
      <c r="O144" s="5" t="s">
        <v>4</v>
      </c>
    </row>
    <row r="145" spans="1:15" ht="14.1" customHeight="1" x14ac:dyDescent="0.25">
      <c r="B145" s="7" t="s">
        <v>21</v>
      </c>
      <c r="C145" s="7" t="s">
        <v>6</v>
      </c>
      <c r="D145" s="7" t="s">
        <v>6</v>
      </c>
      <c r="E145" s="7" t="s">
        <v>7</v>
      </c>
      <c r="F145" s="7" t="s">
        <v>8</v>
      </c>
      <c r="H145" s="7" t="s">
        <v>21</v>
      </c>
      <c r="I145" s="7" t="s">
        <v>6</v>
      </c>
      <c r="J145" s="7" t="s">
        <v>6</v>
      </c>
      <c r="K145" s="7" t="str">
        <f>J145</f>
        <v>$ / Month</v>
      </c>
      <c r="L145" s="7" t="s">
        <v>7</v>
      </c>
      <c r="M145" s="7" t="s">
        <v>8</v>
      </c>
      <c r="N145" s="7" t="s">
        <v>69</v>
      </c>
      <c r="O145" s="7" t="s">
        <v>8</v>
      </c>
    </row>
    <row r="146" spans="1:15" ht="14.1" customHeight="1" x14ac:dyDescent="0.25">
      <c r="A146" s="18">
        <f>ROUND(1000*730*B146,0)</f>
        <v>182500</v>
      </c>
      <c r="B146" s="20">
        <v>0.25</v>
      </c>
      <c r="C146" s="35">
        <f>ROUND(31.55+950*9.77+IF(A146&lt;11000,+A146*0.08329,IF(A146&gt;(11000+8500),11000*0.08329+8500*0.05782+(A146-11000-8500)*0.03816,11000*0.08329+(A146-11000)*0.05782)),0)</f>
        <v>16941</v>
      </c>
      <c r="D146" s="35">
        <f>ROUND(32.61+950*10.1+IF(A146&lt;11000,+A146*0.08609,IF(A146&gt;(11000+8500),11000*0.08609+8500*0.05976+(A146-11000-8500)*0.03944,11000*0.08609+(A146-11000)*0.05976)),0)</f>
        <v>17511</v>
      </c>
      <c r="E146" s="41">
        <f>+D146-C146</f>
        <v>570</v>
      </c>
      <c r="F146" s="22">
        <f>+E146/C146</f>
        <v>3.3646183814414733E-2</v>
      </c>
      <c r="H146" s="23">
        <v>0.25</v>
      </c>
      <c r="I146" s="38">
        <f>+D146</f>
        <v>17511</v>
      </c>
      <c r="J146" s="35">
        <f>ROUND(35.19+950*10.9+IF(A146&lt;11000,+A146*0.09289,IF(A146&gt;(11000+8500),11000*0.09289+8500*0.06448+(A146-11000-8500)*0.04256,11000*0.09289+(A146-11000)*0.06448)),0)</f>
        <v>18897</v>
      </c>
      <c r="K146" s="9">
        <f>J146+A146*$I$43</f>
        <v>19522.700065841036</v>
      </c>
      <c r="L146" s="38">
        <f>+J146-I146</f>
        <v>1386</v>
      </c>
      <c r="M146" s="10">
        <f>+L146/I146</f>
        <v>7.9150248415281829E-2</v>
      </c>
      <c r="N146" s="11">
        <f>K146-I146</f>
        <v>2011.7000658410361</v>
      </c>
      <c r="O146" s="16">
        <f>K146/I146-1</f>
        <v>0.11488207788481741</v>
      </c>
    </row>
    <row r="147" spans="1:15" ht="14.1" customHeight="1" x14ac:dyDescent="0.25">
      <c r="A147" s="18">
        <f t="shared" ref="A147:A149" si="51">ROUND(1000*730*B147,0)</f>
        <v>365000</v>
      </c>
      <c r="B147" s="20">
        <v>0.5</v>
      </c>
      <c r="C147" s="35">
        <f t="shared" ref="C147:C149" si="52">ROUND(31.55+950*9.77+IF(A147&lt;11000,+A147*0.08329,IF(A147&gt;(11000+8500),11000*0.08329+8500*0.05782+(A147-11000-8500)*0.03816,11000*0.08329+(A147-11000)*0.05782)),0)</f>
        <v>23905</v>
      </c>
      <c r="D147" s="35">
        <f>ROUND(32.61+950*10.1+IF(A147&lt;11000,+A147*0.08609,IF(A147&gt;(11000+8500),11000*0.08609+8500*0.05976+(A147-11000-8500)*0.03944,11000*0.08609+(A147-11000)*0.05976)),0)</f>
        <v>24709</v>
      </c>
      <c r="E147" s="41">
        <f>+D147-C147</f>
        <v>804</v>
      </c>
      <c r="F147" s="22">
        <f>+E147/C147</f>
        <v>3.3633131144112108E-2</v>
      </c>
      <c r="H147" s="23">
        <v>0.5</v>
      </c>
      <c r="I147" s="38">
        <f>+D147</f>
        <v>24709</v>
      </c>
      <c r="J147" s="35">
        <f>ROUND(35.19+950*10.9+IF(A147&lt;11000,+A147*0.09289,IF(A147&gt;(11000+8500),11000*0.09289+8500*0.06448+(A147-11000-8500)*0.04256,11000*0.09289+(A147-11000)*0.06448)),0)</f>
        <v>26665</v>
      </c>
      <c r="K147" s="9">
        <f t="shared" ref="K147:K149" si="53">J147+A147*$I$43</f>
        <v>27916.400131682076</v>
      </c>
      <c r="L147" s="38">
        <f>+J147-I147</f>
        <v>1956</v>
      </c>
      <c r="M147" s="10">
        <f>+L147/I147</f>
        <v>7.916143915172609E-2</v>
      </c>
      <c r="N147" s="11">
        <f t="shared" ref="N147:N149" si="54">K147-I147</f>
        <v>3207.4001316820759</v>
      </c>
      <c r="O147" s="16">
        <f t="shared" ref="O147:O149" si="55">K147/I147-1</f>
        <v>0.12980695826144628</v>
      </c>
    </row>
    <row r="148" spans="1:15" ht="14.1" customHeight="1" x14ac:dyDescent="0.25">
      <c r="A148" s="18">
        <f t="shared" si="51"/>
        <v>547500</v>
      </c>
      <c r="B148" s="20">
        <v>0.75</v>
      </c>
      <c r="C148" s="35">
        <f t="shared" si="52"/>
        <v>30869</v>
      </c>
      <c r="D148" s="35">
        <f>ROUND(32.61+950*10.1+IF(A148&lt;11000,+A148*0.08609,IF(A148&gt;(11000+8500),11000*0.08609+8500*0.05976+(A148-11000-8500)*0.03944,11000*0.08609+(A148-11000)*0.05976)),0)</f>
        <v>31907</v>
      </c>
      <c r="E148" s="41">
        <f>+D148-C148</f>
        <v>1038</v>
      </c>
      <c r="F148" s="22">
        <f>+E148/C148</f>
        <v>3.3625967799410413E-2</v>
      </c>
      <c r="H148" s="23">
        <v>0.75</v>
      </c>
      <c r="I148" s="38">
        <f>+D148</f>
        <v>31907</v>
      </c>
      <c r="J148" s="35">
        <f>ROUND(35.19+950*10.9+IF(A148&lt;11000,+A148*0.09289,IF(A148&gt;(11000+8500),11000*0.09289+8500*0.06448+(A148-11000-8500)*0.04256,11000*0.09289+(A148-11000)*0.06448)),0)</f>
        <v>34432</v>
      </c>
      <c r="K148" s="9">
        <f t="shared" si="53"/>
        <v>36309.100197523112</v>
      </c>
      <c r="L148" s="38">
        <f>+J148-I148</f>
        <v>2525</v>
      </c>
      <c r="M148" s="10">
        <f>+L148/I148</f>
        <v>7.9136239696618302E-2</v>
      </c>
      <c r="N148" s="11">
        <f t="shared" si="54"/>
        <v>4402.100197523112</v>
      </c>
      <c r="O148" s="16">
        <f t="shared" si="55"/>
        <v>0.1379665965939485</v>
      </c>
    </row>
    <row r="149" spans="1:15" ht="14.1" customHeight="1" x14ac:dyDescent="0.25">
      <c r="A149" s="18">
        <f t="shared" si="51"/>
        <v>730000</v>
      </c>
      <c r="B149" s="20">
        <v>1</v>
      </c>
      <c r="C149" s="35">
        <f t="shared" si="52"/>
        <v>37833</v>
      </c>
      <c r="D149" s="35">
        <f>ROUND(32.61+950*10.1+IF(A149&lt;11000,+A149*0.08609,IF(A149&gt;(11000+8500),11000*0.08609+8500*0.05976+(A149-11000-8500)*0.03944,11000*0.08609+(A149-11000)*0.05976)),0)</f>
        <v>39105</v>
      </c>
      <c r="E149" s="41">
        <f>+D149-C149</f>
        <v>1272</v>
      </c>
      <c r="F149" s="22">
        <f>+E149/C149</f>
        <v>3.362144159860439E-2</v>
      </c>
      <c r="H149" s="23">
        <v>1</v>
      </c>
      <c r="I149" s="38">
        <f>+D149</f>
        <v>39105</v>
      </c>
      <c r="J149" s="35">
        <f>ROUND(35.19+950*10.9+IF(A149&lt;11000,+A149*0.09289,IF(A149&gt;(11000+8500),11000*0.09289+8500*0.06448+(A149-11000-8500)*0.04256,11000*0.09289+(A149-11000)*0.06448)),0)</f>
        <v>42199</v>
      </c>
      <c r="K149" s="9">
        <f t="shared" si="53"/>
        <v>44701.800263364152</v>
      </c>
      <c r="L149" s="38">
        <f>+J149-I149</f>
        <v>3094</v>
      </c>
      <c r="M149" s="10">
        <f>+L149/I149</f>
        <v>7.9120317095000642E-2</v>
      </c>
      <c r="N149" s="11">
        <f t="shared" si="54"/>
        <v>5596.8002633641518</v>
      </c>
      <c r="O149" s="16">
        <f t="shared" si="55"/>
        <v>0.14312236960399316</v>
      </c>
    </row>
    <row r="150" spans="1:15" ht="14.1" customHeight="1" x14ac:dyDescent="0.25"/>
    <row r="151" spans="1:15" ht="14.1" customHeight="1" x14ac:dyDescent="0.25"/>
    <row r="152" spans="1:15" ht="17.25" customHeight="1" x14ac:dyDescent="0.35">
      <c r="B152" s="55" t="s">
        <v>0</v>
      </c>
      <c r="C152" s="55"/>
      <c r="D152" s="55"/>
      <c r="E152" s="55"/>
      <c r="F152" s="55"/>
      <c r="H152" s="55" t="s">
        <v>0</v>
      </c>
      <c r="I152" s="55"/>
      <c r="J152" s="55"/>
      <c r="K152" s="55"/>
      <c r="L152" s="55"/>
      <c r="M152" s="55"/>
    </row>
    <row r="153" spans="1:15" ht="14.1" customHeight="1" x14ac:dyDescent="0.25"/>
    <row r="154" spans="1:15" s="37" customFormat="1" ht="18" customHeight="1" x14ac:dyDescent="0.3">
      <c r="A154" s="36"/>
      <c r="B154" s="53" t="s">
        <v>33</v>
      </c>
      <c r="C154" s="53"/>
      <c r="D154" s="53"/>
      <c r="E154" s="53"/>
      <c r="F154" s="53"/>
      <c r="H154" s="53" t="s">
        <v>33</v>
      </c>
      <c r="I154" s="53"/>
      <c r="J154" s="53"/>
      <c r="K154" s="53"/>
      <c r="L154" s="53"/>
      <c r="M154" s="53"/>
    </row>
    <row r="155" spans="1:15" s="37" customFormat="1" ht="18" customHeight="1" x14ac:dyDescent="0.3">
      <c r="A155" s="36"/>
      <c r="B155" s="53" t="s">
        <v>34</v>
      </c>
      <c r="C155" s="53"/>
      <c r="D155" s="53"/>
      <c r="E155" s="53"/>
      <c r="F155" s="53"/>
      <c r="H155" s="53" t="s">
        <v>34</v>
      </c>
      <c r="I155" s="53"/>
      <c r="J155" s="53"/>
      <c r="K155" s="53"/>
      <c r="L155" s="53"/>
      <c r="M155" s="53"/>
    </row>
    <row r="156" spans="1:15" ht="14.1" customHeight="1" x14ac:dyDescent="0.25"/>
    <row r="157" spans="1:15" ht="14.1" customHeight="1" x14ac:dyDescent="0.25">
      <c r="B157" s="54" t="s">
        <v>35</v>
      </c>
      <c r="C157" s="54"/>
      <c r="H157" s="54" t="s">
        <v>60</v>
      </c>
      <c r="I157" s="54"/>
      <c r="N157" s="60" t="s">
        <v>70</v>
      </c>
      <c r="O157" s="60"/>
    </row>
    <row r="158" spans="1:15" ht="14.1" customHeight="1" x14ac:dyDescent="0.25">
      <c r="I158" s="1" t="s">
        <v>66</v>
      </c>
      <c r="J158" s="1" t="s">
        <v>67</v>
      </c>
      <c r="L158" s="58" t="s">
        <v>68</v>
      </c>
      <c r="M158" s="58"/>
      <c r="N158" s="59"/>
      <c r="O158" s="59"/>
    </row>
    <row r="159" spans="1:15" ht="14.1" customHeight="1" x14ac:dyDescent="0.25">
      <c r="B159" s="5" t="s">
        <v>20</v>
      </c>
      <c r="C159" s="6">
        <f>+$C$8</f>
        <v>42583</v>
      </c>
      <c r="D159" s="6">
        <f>+$D$8</f>
        <v>42948</v>
      </c>
      <c r="E159" s="5" t="s">
        <v>3</v>
      </c>
      <c r="F159" s="5" t="s">
        <v>4</v>
      </c>
      <c r="H159" s="5" t="s">
        <v>20</v>
      </c>
      <c r="I159" s="6">
        <f>+$I$8</f>
        <v>42948</v>
      </c>
      <c r="J159" s="6">
        <f>+$J$8</f>
        <v>43191</v>
      </c>
      <c r="K159" s="6" t="s">
        <v>64</v>
      </c>
      <c r="L159" s="5" t="s">
        <v>3</v>
      </c>
      <c r="M159" s="5" t="s">
        <v>4</v>
      </c>
      <c r="N159" s="5" t="s">
        <v>3</v>
      </c>
      <c r="O159" s="5" t="s">
        <v>4</v>
      </c>
    </row>
    <row r="160" spans="1:15" ht="14.1" customHeight="1" x14ac:dyDescent="0.25">
      <c r="B160" s="7" t="s">
        <v>21</v>
      </c>
      <c r="C160" s="7" t="s">
        <v>6</v>
      </c>
      <c r="D160" s="7" t="s">
        <v>6</v>
      </c>
      <c r="E160" s="7" t="s">
        <v>7</v>
      </c>
      <c r="F160" s="7" t="s">
        <v>8</v>
      </c>
      <c r="H160" s="7" t="s">
        <v>21</v>
      </c>
      <c r="I160" s="7" t="s">
        <v>6</v>
      </c>
      <c r="J160" s="7" t="s">
        <v>6</v>
      </c>
      <c r="K160" s="7" t="str">
        <f>J160</f>
        <v>$ / Month</v>
      </c>
      <c r="L160" s="7" t="s">
        <v>69</v>
      </c>
      <c r="M160" s="7" t="s">
        <v>8</v>
      </c>
      <c r="N160" s="7" t="s">
        <v>69</v>
      </c>
      <c r="O160" s="7" t="s">
        <v>8</v>
      </c>
    </row>
    <row r="161" spans="1:15" ht="14.1" customHeight="1" x14ac:dyDescent="0.25">
      <c r="A161" s="18">
        <f>ROUND(5000*730*B161,0)</f>
        <v>912500</v>
      </c>
      <c r="B161" s="20">
        <v>0.25</v>
      </c>
      <c r="C161" s="35">
        <f>ROUND(5000*8.29+A161*0.03589,0)</f>
        <v>74200</v>
      </c>
      <c r="D161" s="35">
        <f>ROUND(5000*8.57+A161*0.03709,0)</f>
        <v>76695</v>
      </c>
      <c r="E161" s="41">
        <f>+D161-C161</f>
        <v>2495</v>
      </c>
      <c r="F161" s="22">
        <f>+E161/C161</f>
        <v>3.362533692722372E-2</v>
      </c>
      <c r="H161" s="23">
        <v>0.25</v>
      </c>
      <c r="I161" s="38">
        <f>+D161</f>
        <v>76695</v>
      </c>
      <c r="J161" s="35">
        <f>ROUND(5000*9.25+A161*0.04002,0)</f>
        <v>82768</v>
      </c>
      <c r="K161" s="9">
        <f>J161+A161*$I$43</f>
        <v>85896.500329205184</v>
      </c>
      <c r="L161" s="38">
        <f>+J161-I161</f>
        <v>6073</v>
      </c>
      <c r="M161" s="10">
        <f>+L161/I161</f>
        <v>7.9183779907425519E-2</v>
      </c>
      <c r="N161" s="11">
        <f>K161-I161</f>
        <v>9201.5003292051842</v>
      </c>
      <c r="O161" s="16">
        <f>K161/I161-1</f>
        <v>0.11997523083910533</v>
      </c>
    </row>
    <row r="162" spans="1:15" ht="14.1" customHeight="1" x14ac:dyDescent="0.25">
      <c r="A162" s="18">
        <f t="shared" ref="A162:A164" si="56">ROUND(5000*730*B162,0)</f>
        <v>1825000</v>
      </c>
      <c r="B162" s="20">
        <v>0.5</v>
      </c>
      <c r="C162" s="35">
        <f t="shared" ref="C162:C164" si="57">ROUND(5000*8.29+A162*0.03589,0)</f>
        <v>106949</v>
      </c>
      <c r="D162" s="35">
        <f>ROUND(5000*8.57+A162*0.03709,0)</f>
        <v>110539</v>
      </c>
      <c r="E162" s="41">
        <f>+D162-C162</f>
        <v>3590</v>
      </c>
      <c r="F162" s="22">
        <f>+E162/C162</f>
        <v>3.3567401284724498E-2</v>
      </c>
      <c r="H162" s="23">
        <v>0.5</v>
      </c>
      <c r="I162" s="38">
        <f>+D162</f>
        <v>110539</v>
      </c>
      <c r="J162" s="35">
        <f>ROUND(5000*9.25+A162*0.04002,0)</f>
        <v>119287</v>
      </c>
      <c r="K162" s="9">
        <f t="shared" ref="K162:K164" si="58">J162+A162*$I$43</f>
        <v>125544.00065841038</v>
      </c>
      <c r="L162" s="38">
        <f>+J162-I162</f>
        <v>8748</v>
      </c>
      <c r="M162" s="10">
        <f>+L162/I162</f>
        <v>7.9139489230045504E-2</v>
      </c>
      <c r="N162" s="11">
        <f t="shared" ref="N162:N164" si="59">K162-I162</f>
        <v>15005.000658410383</v>
      </c>
      <c r="O162" s="16">
        <f t="shared" ref="O162:O164" si="60">K162/I162-1</f>
        <v>0.13574395153213237</v>
      </c>
    </row>
    <row r="163" spans="1:15" ht="14.1" customHeight="1" x14ac:dyDescent="0.25">
      <c r="A163" s="18">
        <f t="shared" si="56"/>
        <v>2737500</v>
      </c>
      <c r="B163" s="20">
        <v>0.75</v>
      </c>
      <c r="C163" s="35">
        <f t="shared" si="57"/>
        <v>139699</v>
      </c>
      <c r="D163" s="35">
        <f>ROUND(5000*8.57+A163*0.03709,0)</f>
        <v>144384</v>
      </c>
      <c r="E163" s="41">
        <f>+D163-C163</f>
        <v>4685</v>
      </c>
      <c r="F163" s="22">
        <f>+E163/C163</f>
        <v>3.353638895052935E-2</v>
      </c>
      <c r="H163" s="23">
        <v>0.75</v>
      </c>
      <c r="I163" s="38">
        <f>+D163</f>
        <v>144384</v>
      </c>
      <c r="J163" s="35">
        <f>ROUND(5000*9.25+A163*0.04002,0)</f>
        <v>155805</v>
      </c>
      <c r="K163" s="9">
        <f t="shared" si="58"/>
        <v>165190.50098761555</v>
      </c>
      <c r="L163" s="38">
        <f>+J163-I163</f>
        <v>11421</v>
      </c>
      <c r="M163" s="10">
        <f>+L163/I163</f>
        <v>7.91015625E-2</v>
      </c>
      <c r="N163" s="11">
        <f t="shared" si="59"/>
        <v>20806.500987615553</v>
      </c>
      <c r="O163" s="16">
        <f t="shared" si="60"/>
        <v>0.14410530936679655</v>
      </c>
    </row>
    <row r="164" spans="1:15" ht="14.1" customHeight="1" x14ac:dyDescent="0.25">
      <c r="A164" s="18">
        <f t="shared" si="56"/>
        <v>3650000</v>
      </c>
      <c r="B164" s="20">
        <v>1</v>
      </c>
      <c r="C164" s="35">
        <f t="shared" si="57"/>
        <v>172449</v>
      </c>
      <c r="D164" s="35">
        <f>ROUND(5000*8.57+A164*0.03709,0)</f>
        <v>178229</v>
      </c>
      <c r="E164" s="41">
        <f>+D164-C164</f>
        <v>5780</v>
      </c>
      <c r="F164" s="22">
        <f>+E164/C164</f>
        <v>3.3517155796786297E-2</v>
      </c>
      <c r="H164" s="23">
        <v>1</v>
      </c>
      <c r="I164" s="38">
        <f>+D164</f>
        <v>178229</v>
      </c>
      <c r="J164" s="35">
        <f>ROUND(5000*9.25+A164*0.04002,0)</f>
        <v>192323</v>
      </c>
      <c r="K164" s="9">
        <f t="shared" si="58"/>
        <v>204837.00131682077</v>
      </c>
      <c r="L164" s="38">
        <f>+J164-I164</f>
        <v>14094</v>
      </c>
      <c r="M164" s="10">
        <f>+L164/I164</f>
        <v>7.9078040049599105E-2</v>
      </c>
      <c r="N164" s="11">
        <f t="shared" si="59"/>
        <v>26608.001316820766</v>
      </c>
      <c r="O164" s="16">
        <f t="shared" si="60"/>
        <v>0.14929108796447688</v>
      </c>
    </row>
    <row r="165" spans="1:15" ht="14.1" customHeight="1" x14ac:dyDescent="0.25"/>
    <row r="166" spans="1:15" ht="14.1" customHeight="1" x14ac:dyDescent="0.25"/>
    <row r="167" spans="1:15" s="37" customFormat="1" ht="17.25" customHeight="1" x14ac:dyDescent="0.3">
      <c r="A167" s="36"/>
      <c r="B167" s="53" t="s">
        <v>36</v>
      </c>
      <c r="C167" s="53"/>
      <c r="D167" s="53"/>
      <c r="E167" s="53"/>
      <c r="F167" s="53"/>
      <c r="H167" s="53" t="s">
        <v>36</v>
      </c>
      <c r="I167" s="53"/>
      <c r="J167" s="53"/>
      <c r="K167" s="53"/>
      <c r="L167" s="53"/>
      <c r="M167" s="53"/>
    </row>
    <row r="168" spans="1:15" s="37" customFormat="1" ht="17.25" customHeight="1" x14ac:dyDescent="0.3">
      <c r="A168" s="36"/>
      <c r="B168" s="53" t="s">
        <v>37</v>
      </c>
      <c r="C168" s="53"/>
      <c r="D168" s="53"/>
      <c r="E168" s="53"/>
      <c r="F168" s="53"/>
      <c r="H168" s="53" t="s">
        <v>37</v>
      </c>
      <c r="I168" s="53"/>
      <c r="J168" s="53"/>
      <c r="K168" s="53"/>
      <c r="L168" s="53"/>
      <c r="M168" s="53"/>
    </row>
    <row r="169" spans="1:15" ht="14.1" customHeight="1" x14ac:dyDescent="0.25"/>
    <row r="170" spans="1:15" ht="15.75" customHeight="1" x14ac:dyDescent="0.25">
      <c r="B170" s="54" t="s">
        <v>38</v>
      </c>
      <c r="C170" s="54"/>
      <c r="H170" s="54" t="s">
        <v>61</v>
      </c>
      <c r="I170" s="54"/>
      <c r="N170" s="60" t="s">
        <v>70</v>
      </c>
      <c r="O170" s="60"/>
    </row>
    <row r="171" spans="1:15" ht="15.75" customHeight="1" x14ac:dyDescent="0.25">
      <c r="J171" s="42"/>
      <c r="K171" s="42"/>
      <c r="N171" s="59"/>
      <c r="O171" s="59"/>
    </row>
    <row r="172" spans="1:15" ht="14.1" customHeight="1" x14ac:dyDescent="0.25">
      <c r="B172" s="5" t="s">
        <v>20</v>
      </c>
      <c r="C172" s="6">
        <f>+$C$8</f>
        <v>42583</v>
      </c>
      <c r="D172" s="6">
        <f>+$D$8</f>
        <v>42948</v>
      </c>
      <c r="E172" s="5" t="s">
        <v>3</v>
      </c>
      <c r="F172" s="5" t="s">
        <v>4</v>
      </c>
      <c r="H172" s="5" t="s">
        <v>20</v>
      </c>
      <c r="I172" s="6">
        <f>+$I$8</f>
        <v>42948</v>
      </c>
      <c r="J172" s="6">
        <f>+$J$8</f>
        <v>43191</v>
      </c>
      <c r="K172" s="6" t="s">
        <v>64</v>
      </c>
      <c r="L172" s="5" t="s">
        <v>3</v>
      </c>
      <c r="M172" s="5" t="s">
        <v>4</v>
      </c>
      <c r="N172" s="5" t="s">
        <v>3</v>
      </c>
      <c r="O172" s="5" t="s">
        <v>4</v>
      </c>
    </row>
    <row r="173" spans="1:15" ht="14.1" customHeight="1" x14ac:dyDescent="0.25">
      <c r="B173" s="7" t="s">
        <v>21</v>
      </c>
      <c r="C173" s="7" t="s">
        <v>6</v>
      </c>
      <c r="D173" s="7" t="s">
        <v>6</v>
      </c>
      <c r="E173" s="7" t="s">
        <v>7</v>
      </c>
      <c r="F173" s="7" t="s">
        <v>8</v>
      </c>
      <c r="H173" s="7" t="s">
        <v>21</v>
      </c>
      <c r="I173" s="7" t="s">
        <v>6</v>
      </c>
      <c r="J173" s="7" t="s">
        <v>6</v>
      </c>
      <c r="K173" s="7" t="str">
        <f>J173</f>
        <v>$ / Month</v>
      </c>
      <c r="L173" s="7" t="s">
        <v>7</v>
      </c>
      <c r="M173" s="7" t="s">
        <v>8</v>
      </c>
      <c r="N173" s="7" t="s">
        <v>69</v>
      </c>
      <c r="O173" s="7" t="s">
        <v>8</v>
      </c>
    </row>
    <row r="174" spans="1:15" ht="14.1" customHeight="1" x14ac:dyDescent="0.25">
      <c r="A174" s="18">
        <f>ROUND(10000*730*B174,0)</f>
        <v>1825000</v>
      </c>
      <c r="B174" s="20">
        <v>0.25</v>
      </c>
      <c r="C174" s="35">
        <f>ROUND(10000*7.1+A174*0.03336,0)</f>
        <v>131882</v>
      </c>
      <c r="D174" s="35">
        <f>ROUND(10000*7.34+A174*0.03448,0)</f>
        <v>136326</v>
      </c>
      <c r="E174" s="41">
        <f>+D174-C174</f>
        <v>4444</v>
      </c>
      <c r="F174" s="22">
        <f>+E174/C174</f>
        <v>3.3696789554298542E-2</v>
      </c>
      <c r="H174" s="23">
        <v>0.25</v>
      </c>
      <c r="I174" s="38">
        <f>+D174</f>
        <v>136326</v>
      </c>
      <c r="J174" s="35">
        <f>ROUND(10000*7.92+A174*0.0372,0)</f>
        <v>147090</v>
      </c>
      <c r="K174" s="9">
        <f>J174+A174*$I$43</f>
        <v>153347.00065841037</v>
      </c>
      <c r="L174" s="38">
        <f>+J174-I174</f>
        <v>10764</v>
      </c>
      <c r="M174" s="10">
        <f>+L174/I174</f>
        <v>7.8957792350688796E-2</v>
      </c>
      <c r="N174" s="11">
        <f>K174-I174</f>
        <v>17021.000658410368</v>
      </c>
      <c r="O174" s="16">
        <f>K174/I174-1</f>
        <v>0.12485513151130645</v>
      </c>
    </row>
    <row r="175" spans="1:15" ht="14.1" customHeight="1" x14ac:dyDescent="0.25">
      <c r="A175" s="18">
        <f t="shared" ref="A175:A177" si="61">ROUND(10000*730*B175,0)</f>
        <v>3650000</v>
      </c>
      <c r="B175" s="20">
        <v>0.5</v>
      </c>
      <c r="C175" s="35">
        <f t="shared" ref="C175:C177" si="62">ROUND(10000*7.1+A175*0.03336,0)</f>
        <v>192764</v>
      </c>
      <c r="D175" s="35">
        <f>ROUND(10000*7.34+A175*0.03448,0)</f>
        <v>199252</v>
      </c>
      <c r="E175" s="41">
        <f>+D175-C175</f>
        <v>6488</v>
      </c>
      <c r="F175" s="22">
        <f>+E175/C175</f>
        <v>3.3657736921831875E-2</v>
      </c>
      <c r="H175" s="23">
        <v>0.5</v>
      </c>
      <c r="I175" s="38">
        <f>+D175</f>
        <v>199252</v>
      </c>
      <c r="J175" s="35">
        <f>ROUND(10000*7.92+A175*0.0372,0)</f>
        <v>214980</v>
      </c>
      <c r="K175" s="9">
        <f t="shared" ref="K175:K177" si="63">J175+A175*$I$43</f>
        <v>227494.00131682077</v>
      </c>
      <c r="L175" s="38">
        <f>+J175-I175</f>
        <v>15728</v>
      </c>
      <c r="M175" s="10">
        <f>+L175/I175</f>
        <v>7.8935217714251299E-2</v>
      </c>
      <c r="N175" s="11">
        <f t="shared" ref="N175:N177" si="64">K175-I175</f>
        <v>28242.001316820766</v>
      </c>
      <c r="O175" s="16">
        <f t="shared" ref="O175:O177" si="65">K175/I175-1</f>
        <v>0.14174011461275549</v>
      </c>
    </row>
    <row r="176" spans="1:15" ht="14.1" customHeight="1" x14ac:dyDescent="0.25">
      <c r="A176" s="18">
        <f t="shared" si="61"/>
        <v>5475000</v>
      </c>
      <c r="B176" s="20">
        <v>0.75</v>
      </c>
      <c r="C176" s="35">
        <f t="shared" si="62"/>
        <v>253646</v>
      </c>
      <c r="D176" s="35">
        <f>ROUND(10000*7.34+A176*0.03448,0)</f>
        <v>262178</v>
      </c>
      <c r="E176" s="41">
        <f>+D176-C176</f>
        <v>8532</v>
      </c>
      <c r="F176" s="22">
        <f>+E176/C176</f>
        <v>3.3637431696143444E-2</v>
      </c>
      <c r="H176" s="23">
        <v>0.75</v>
      </c>
      <c r="I176" s="38">
        <f>+D176</f>
        <v>262178</v>
      </c>
      <c r="J176" s="35">
        <f>ROUND(10000*7.92+A176*0.0372,0)</f>
        <v>282870</v>
      </c>
      <c r="K176" s="9">
        <f t="shared" si="63"/>
        <v>301641.00197523111</v>
      </c>
      <c r="L176" s="38">
        <f>+J176-I176</f>
        <v>20692</v>
      </c>
      <c r="M176" s="10">
        <f>+L176/I176</f>
        <v>7.8923479468147595E-2</v>
      </c>
      <c r="N176" s="11">
        <f t="shared" si="64"/>
        <v>39463.001975231105</v>
      </c>
      <c r="O176" s="16">
        <f t="shared" si="65"/>
        <v>0.15051988334349597</v>
      </c>
    </row>
    <row r="177" spans="1:15" ht="14.1" customHeight="1" x14ac:dyDescent="0.25">
      <c r="A177" s="18">
        <f t="shared" si="61"/>
        <v>7300000</v>
      </c>
      <c r="B177" s="20">
        <v>1</v>
      </c>
      <c r="C177" s="35">
        <f t="shared" si="62"/>
        <v>314528</v>
      </c>
      <c r="D177" s="35">
        <f>ROUND(10000*7.34+A177*0.03448,0)</f>
        <v>325104</v>
      </c>
      <c r="E177" s="41">
        <f>+D177-C177</f>
        <v>10576</v>
      </c>
      <c r="F177" s="22">
        <f>+E177/C177</f>
        <v>3.3624987282531285E-2</v>
      </c>
      <c r="H177" s="23">
        <v>1</v>
      </c>
      <c r="I177" s="38">
        <f>+D177</f>
        <v>325104</v>
      </c>
      <c r="J177" s="35">
        <f>ROUND(10000*7.92+A177*0.0372,0)</f>
        <v>350760</v>
      </c>
      <c r="K177" s="9">
        <f t="shared" si="63"/>
        <v>375788.00263364153</v>
      </c>
      <c r="L177" s="38">
        <f>+J177-I177</f>
        <v>25656</v>
      </c>
      <c r="M177" s="10">
        <f>+L177/I177</f>
        <v>7.8916285250258372E-2</v>
      </c>
      <c r="N177" s="11">
        <f t="shared" si="64"/>
        <v>50684.002633641532</v>
      </c>
      <c r="O177" s="16">
        <f t="shared" si="65"/>
        <v>0.15590088904978572</v>
      </c>
    </row>
    <row r="178" spans="1:15" ht="14.1" customHeight="1" x14ac:dyDescent="0.25"/>
    <row r="179" spans="1:15" ht="14.1" customHeight="1" x14ac:dyDescent="0.25"/>
    <row r="180" spans="1:15" s="37" customFormat="1" ht="17.25" customHeight="1" x14ac:dyDescent="0.3">
      <c r="A180" s="36"/>
      <c r="B180" s="53" t="s">
        <v>39</v>
      </c>
      <c r="C180" s="53"/>
      <c r="D180" s="53"/>
      <c r="E180" s="53"/>
      <c r="F180" s="53"/>
      <c r="H180" s="53" t="s">
        <v>39</v>
      </c>
      <c r="I180" s="53"/>
      <c r="J180" s="53"/>
      <c r="K180" s="53"/>
      <c r="L180" s="53"/>
      <c r="M180" s="53"/>
    </row>
    <row r="181" spans="1:15" s="37" customFormat="1" ht="17.25" customHeight="1" x14ac:dyDescent="0.3">
      <c r="A181" s="36"/>
      <c r="B181" s="53" t="s">
        <v>40</v>
      </c>
      <c r="C181" s="53"/>
      <c r="D181" s="53"/>
      <c r="E181" s="53"/>
      <c r="F181" s="53"/>
      <c r="H181" s="53" t="s">
        <v>40</v>
      </c>
      <c r="I181" s="53"/>
      <c r="J181" s="53"/>
      <c r="K181" s="53"/>
      <c r="L181" s="53"/>
      <c r="M181" s="53"/>
    </row>
    <row r="182" spans="1:15" ht="14.1" customHeight="1" x14ac:dyDescent="0.25"/>
    <row r="183" spans="1:15" ht="14.1" customHeight="1" x14ac:dyDescent="0.25">
      <c r="B183" s="54" t="s">
        <v>41</v>
      </c>
      <c r="C183" s="54"/>
      <c r="H183" s="54" t="s">
        <v>62</v>
      </c>
      <c r="I183" s="54"/>
      <c r="N183" s="60" t="s">
        <v>70</v>
      </c>
      <c r="O183" s="60"/>
    </row>
    <row r="184" spans="1:15" ht="14.1" customHeight="1" x14ac:dyDescent="0.25">
      <c r="B184" s="17"/>
      <c r="C184" s="17"/>
      <c r="H184" s="17"/>
      <c r="I184" s="17"/>
      <c r="N184" s="59"/>
      <c r="O184" s="59"/>
    </row>
    <row r="185" spans="1:15" ht="14.1" customHeight="1" x14ac:dyDescent="0.25">
      <c r="B185" s="5" t="s">
        <v>20</v>
      </c>
      <c r="C185" s="6">
        <f>+$C$8</f>
        <v>42583</v>
      </c>
      <c r="D185" s="6">
        <f>+$D$8</f>
        <v>42948</v>
      </c>
      <c r="E185" s="5" t="s">
        <v>3</v>
      </c>
      <c r="F185" s="5" t="s">
        <v>4</v>
      </c>
      <c r="H185" s="5" t="s">
        <v>20</v>
      </c>
      <c r="I185" s="6">
        <f>+$I$8</f>
        <v>42948</v>
      </c>
      <c r="J185" s="6">
        <f>+$J$8</f>
        <v>43191</v>
      </c>
      <c r="K185" s="6" t="s">
        <v>64</v>
      </c>
      <c r="L185" s="5" t="s">
        <v>3</v>
      </c>
      <c r="M185" s="5" t="s">
        <v>4</v>
      </c>
      <c r="N185" s="5" t="s">
        <v>3</v>
      </c>
      <c r="O185" s="5" t="s">
        <v>4</v>
      </c>
    </row>
    <row r="186" spans="1:15" ht="14.1" customHeight="1" x14ac:dyDescent="0.25">
      <c r="B186" s="7" t="s">
        <v>21</v>
      </c>
      <c r="C186" s="7" t="s">
        <v>6</v>
      </c>
      <c r="D186" s="7" t="s">
        <v>6</v>
      </c>
      <c r="E186" s="7" t="s">
        <v>7</v>
      </c>
      <c r="F186" s="7" t="s">
        <v>8</v>
      </c>
      <c r="H186" s="7" t="s">
        <v>21</v>
      </c>
      <c r="I186" s="7" t="s">
        <v>6</v>
      </c>
      <c r="J186" s="7" t="s">
        <v>6</v>
      </c>
      <c r="K186" s="7" t="str">
        <f>J186</f>
        <v>$ / Month</v>
      </c>
      <c r="L186" s="7" t="s">
        <v>7</v>
      </c>
      <c r="M186" s="7" t="s">
        <v>8</v>
      </c>
      <c r="N186" s="7" t="s">
        <v>69</v>
      </c>
      <c r="O186" s="7" t="s">
        <v>8</v>
      </c>
    </row>
    <row r="187" spans="1:15" ht="14.1" customHeight="1" x14ac:dyDescent="0.25">
      <c r="A187" s="18">
        <f>ROUND(50000*730*B187,0)</f>
        <v>9125000</v>
      </c>
      <c r="B187" s="20">
        <v>0.25</v>
      </c>
      <c r="C187" s="35">
        <f>ROUND(50000*6.32+A187*0.03233,0)</f>
        <v>611011</v>
      </c>
      <c r="D187" s="35">
        <f>ROUND(50000*6.53+A187*0.03342,0)</f>
        <v>631458</v>
      </c>
      <c r="E187" s="41">
        <f>+D187-C187</f>
        <v>20447</v>
      </c>
      <c r="F187" s="22">
        <f>+E187/C187</f>
        <v>3.3464209318653834E-2</v>
      </c>
      <c r="H187" s="23">
        <v>0.25</v>
      </c>
      <c r="I187" s="38">
        <f>+D187</f>
        <v>631458</v>
      </c>
      <c r="J187" s="35">
        <f>ROUND(50000*7.05+A187*0.03606,0)</f>
        <v>681548</v>
      </c>
      <c r="K187" s="9">
        <f>J187+A187*$I$43</f>
        <v>712833.00329205184</v>
      </c>
      <c r="L187" s="38">
        <f>+J187-I187</f>
        <v>50090</v>
      </c>
      <c r="M187" s="10">
        <f>+L187/I187</f>
        <v>7.9324357281086E-2</v>
      </c>
      <c r="N187" s="11">
        <f>K187-I187</f>
        <v>81375.003292051842</v>
      </c>
      <c r="O187" s="16">
        <f>K187/I187-1</f>
        <v>0.12886843351743393</v>
      </c>
    </row>
    <row r="188" spans="1:15" ht="14.1" customHeight="1" x14ac:dyDescent="0.25">
      <c r="A188" s="18">
        <f t="shared" ref="A188:A190" si="66">ROUND(50000*730*B188,0)</f>
        <v>18250000</v>
      </c>
      <c r="B188" s="20">
        <v>0.5</v>
      </c>
      <c r="C188" s="35">
        <f t="shared" ref="C188:C190" si="67">ROUND(50000*6.32+A188*0.03233,0)</f>
        <v>906023</v>
      </c>
      <c r="D188" s="35">
        <f>ROUND(50000*6.53+A188*0.03342,0)</f>
        <v>936415</v>
      </c>
      <c r="E188" s="41">
        <f>+D188-C188</f>
        <v>30392</v>
      </c>
      <c r="F188" s="22">
        <f>+E188/C188</f>
        <v>3.3544402294422987E-2</v>
      </c>
      <c r="H188" s="23">
        <v>0.5</v>
      </c>
      <c r="I188" s="38">
        <f>+D188</f>
        <v>936415</v>
      </c>
      <c r="J188" s="35">
        <f>ROUND(50000*7.05+A188*0.03606,0)</f>
        <v>1010595</v>
      </c>
      <c r="K188" s="9">
        <f t="shared" ref="K188:K190" si="68">J188+A188*$I$43</f>
        <v>1073165.0065841037</v>
      </c>
      <c r="L188" s="38">
        <f>+J188-I188</f>
        <v>74180</v>
      </c>
      <c r="M188" s="10">
        <f>+L188/I188</f>
        <v>7.9217013823998969E-2</v>
      </c>
      <c r="N188" s="11">
        <f t="shared" ref="N188:N190" si="69">K188-I188</f>
        <v>136750.00658410368</v>
      </c>
      <c r="O188" s="16">
        <f t="shared" ref="O188:O190" si="70">K188/I188-1</f>
        <v>0.14603568565657721</v>
      </c>
    </row>
    <row r="189" spans="1:15" ht="14.1" customHeight="1" x14ac:dyDescent="0.25">
      <c r="A189" s="18">
        <f t="shared" si="66"/>
        <v>27375000</v>
      </c>
      <c r="B189" s="20">
        <v>0.75</v>
      </c>
      <c r="C189" s="35">
        <f t="shared" si="67"/>
        <v>1201034</v>
      </c>
      <c r="D189" s="35">
        <f>ROUND(50000*6.53+A189*0.03342,0)</f>
        <v>1241373</v>
      </c>
      <c r="E189" s="41">
        <f>+D189-C189</f>
        <v>40339</v>
      </c>
      <c r="F189" s="22">
        <f>+E189/C189</f>
        <v>3.3586892627519287E-2</v>
      </c>
      <c r="H189" s="23">
        <v>0.75</v>
      </c>
      <c r="I189" s="38">
        <f>+D189</f>
        <v>1241373</v>
      </c>
      <c r="J189" s="35">
        <f>ROUND(50000*7.05+A189*0.03606,0)</f>
        <v>1339643</v>
      </c>
      <c r="K189" s="9">
        <f t="shared" si="68"/>
        <v>1433498.0098761558</v>
      </c>
      <c r="L189" s="38">
        <f>+J189-I189</f>
        <v>98270</v>
      </c>
      <c r="M189" s="10">
        <f>+L189/I189</f>
        <v>7.9162346853040952E-2</v>
      </c>
      <c r="N189" s="11">
        <f t="shared" si="69"/>
        <v>192125.00987615576</v>
      </c>
      <c r="O189" s="16">
        <f t="shared" si="70"/>
        <v>0.15476815580502867</v>
      </c>
    </row>
    <row r="190" spans="1:15" ht="14.1" customHeight="1" x14ac:dyDescent="0.25">
      <c r="A190" s="18">
        <f t="shared" si="66"/>
        <v>36500000</v>
      </c>
      <c r="B190" s="20">
        <v>1</v>
      </c>
      <c r="C190" s="35">
        <f t="shared" si="67"/>
        <v>1496045</v>
      </c>
      <c r="D190" s="35">
        <f>ROUND(50000*6.53+A190*0.03342,0)</f>
        <v>1546330</v>
      </c>
      <c r="E190" s="41">
        <f>+D190-C190</f>
        <v>50285</v>
      </c>
      <c r="F190" s="22">
        <f>+E190/C190</f>
        <v>3.3611956859586442E-2</v>
      </c>
      <c r="H190" s="23">
        <v>1</v>
      </c>
      <c r="I190" s="38">
        <f>+D190</f>
        <v>1546330</v>
      </c>
      <c r="J190" s="35">
        <f>ROUND(50000*7.05+A190*0.03606,0)</f>
        <v>1668690</v>
      </c>
      <c r="K190" s="9">
        <f t="shared" si="68"/>
        <v>1793830.0131682076</v>
      </c>
      <c r="L190" s="38">
        <f>+J190-I190</f>
        <v>122360</v>
      </c>
      <c r="M190" s="10">
        <f>+L190/I190</f>
        <v>7.9129293229776312E-2</v>
      </c>
      <c r="N190" s="11">
        <f t="shared" si="69"/>
        <v>247500.0131682076</v>
      </c>
      <c r="O190" s="16">
        <f t="shared" si="70"/>
        <v>0.16005640010101829</v>
      </c>
    </row>
    <row r="191" spans="1:15" ht="14.1" customHeight="1" x14ac:dyDescent="0.25">
      <c r="B191" s="43"/>
      <c r="C191" s="44"/>
      <c r="D191" s="45"/>
      <c r="E191" s="45"/>
      <c r="F191" s="46"/>
      <c r="H191" s="47"/>
      <c r="I191" s="48"/>
      <c r="J191" s="48"/>
      <c r="K191" s="48"/>
      <c r="L191" s="48"/>
      <c r="M191" s="33"/>
    </row>
    <row r="192" spans="1:15" ht="14.1" customHeight="1" x14ac:dyDescent="0.25">
      <c r="B192" s="40"/>
      <c r="C192" s="49"/>
      <c r="D192" s="49"/>
      <c r="E192" s="49"/>
      <c r="F192" s="16"/>
      <c r="H192" s="40"/>
      <c r="I192" s="49"/>
      <c r="J192" s="49"/>
      <c r="K192" s="49"/>
      <c r="L192" s="49"/>
      <c r="M192" s="16"/>
    </row>
    <row r="193" spans="1:15" ht="22.5" customHeight="1" x14ac:dyDescent="0.35">
      <c r="B193" s="55" t="s">
        <v>0</v>
      </c>
      <c r="C193" s="55"/>
      <c r="D193" s="55"/>
      <c r="E193" s="55"/>
      <c r="F193" s="55"/>
      <c r="H193" s="55" t="s">
        <v>0</v>
      </c>
      <c r="I193" s="55"/>
      <c r="J193" s="55"/>
      <c r="K193" s="55"/>
      <c r="L193" s="55"/>
      <c r="M193" s="55"/>
    </row>
    <row r="194" spans="1:15" ht="14.1" customHeight="1" x14ac:dyDescent="0.25"/>
    <row r="195" spans="1:15" s="37" customFormat="1" ht="16.5" customHeight="1" x14ac:dyDescent="0.3">
      <c r="A195" s="36"/>
      <c r="B195" s="53" t="s">
        <v>42</v>
      </c>
      <c r="C195" s="53"/>
      <c r="D195" s="53"/>
      <c r="E195" s="53"/>
      <c r="F195" s="53"/>
      <c r="H195" s="53" t="str">
        <f>+B195</f>
        <v>Limited Use Billing Demand - General Service Small</v>
      </c>
      <c r="I195" s="53"/>
      <c r="J195" s="53"/>
      <c r="K195" s="53"/>
      <c r="L195" s="53"/>
      <c r="M195" s="53"/>
    </row>
    <row r="196" spans="1:15" s="37" customFormat="1" ht="16.5" customHeight="1" x14ac:dyDescent="0.3">
      <c r="A196" s="36"/>
      <c r="B196" s="53" t="s">
        <v>22</v>
      </c>
      <c r="C196" s="53"/>
      <c r="D196" s="53"/>
      <c r="E196" s="53"/>
      <c r="F196" s="53"/>
      <c r="H196" s="53" t="s">
        <v>22</v>
      </c>
      <c r="I196" s="53"/>
      <c r="J196" s="53"/>
      <c r="K196" s="53"/>
      <c r="L196" s="53"/>
      <c r="M196" s="53"/>
    </row>
    <row r="197" spans="1:15" ht="14.1" customHeight="1" x14ac:dyDescent="0.25"/>
    <row r="198" spans="1:15" ht="14.1" customHeight="1" x14ac:dyDescent="0.25">
      <c r="B198" s="54" t="s">
        <v>43</v>
      </c>
      <c r="C198" s="54"/>
      <c r="H198" s="54" t="s">
        <v>63</v>
      </c>
      <c r="I198" s="54"/>
      <c r="N198" s="60" t="s">
        <v>70</v>
      </c>
      <c r="O198" s="60"/>
    </row>
    <row r="199" spans="1:15" ht="14.1" customHeight="1" x14ac:dyDescent="0.25">
      <c r="N199" s="59"/>
      <c r="O199" s="59"/>
    </row>
    <row r="200" spans="1:15" ht="14.1" customHeight="1" x14ac:dyDescent="0.25">
      <c r="B200" s="5" t="s">
        <v>20</v>
      </c>
      <c r="C200" s="6">
        <f>+$C$8</f>
        <v>42583</v>
      </c>
      <c r="D200" s="6">
        <f>+$D$8</f>
        <v>42948</v>
      </c>
      <c r="E200" s="5" t="s">
        <v>3</v>
      </c>
      <c r="F200" s="5" t="s">
        <v>4</v>
      </c>
      <c r="H200" s="5" t="s">
        <v>20</v>
      </c>
      <c r="I200" s="6">
        <f>+$I$8</f>
        <v>42948</v>
      </c>
      <c r="J200" s="6">
        <f>+$J$8</f>
        <v>43191</v>
      </c>
      <c r="K200" s="6" t="s">
        <v>64</v>
      </c>
      <c r="L200" s="5" t="s">
        <v>3</v>
      </c>
      <c r="M200" s="5" t="s">
        <v>4</v>
      </c>
      <c r="N200" s="5" t="s">
        <v>3</v>
      </c>
      <c r="O200" s="5" t="s">
        <v>4</v>
      </c>
    </row>
    <row r="201" spans="1:15" ht="14.1" customHeight="1" x14ac:dyDescent="0.25">
      <c r="B201" s="7" t="s">
        <v>21</v>
      </c>
      <c r="C201" s="7" t="s">
        <v>6</v>
      </c>
      <c r="D201" s="7" t="s">
        <v>6</v>
      </c>
      <c r="E201" s="7" t="s">
        <v>7</v>
      </c>
      <c r="F201" s="7" t="s">
        <v>8</v>
      </c>
      <c r="H201" s="7" t="s">
        <v>21</v>
      </c>
      <c r="I201" s="7" t="s">
        <v>6</v>
      </c>
      <c r="J201" s="7" t="s">
        <v>6</v>
      </c>
      <c r="K201" s="7" t="str">
        <f>J201</f>
        <v>$ / Month</v>
      </c>
      <c r="L201" s="7" t="s">
        <v>7</v>
      </c>
      <c r="M201" s="7" t="s">
        <v>8</v>
      </c>
      <c r="N201" s="7" t="s">
        <v>69</v>
      </c>
      <c r="O201" s="7" t="s">
        <v>8</v>
      </c>
    </row>
    <row r="202" spans="1:15" ht="14.1" customHeight="1" x14ac:dyDescent="0.25">
      <c r="A202" s="18">
        <f>ROUND(100*730*B202,0)</f>
        <v>3650</v>
      </c>
      <c r="B202" s="20">
        <v>0.05</v>
      </c>
      <c r="C202" s="27">
        <f>ROUND(29.89+50*2.44+A202*0.09454,2)</f>
        <v>496.96</v>
      </c>
      <c r="D202" s="27">
        <f>ROUND(30.89+50*2.53+A202*0.09767,2)</f>
        <v>513.89</v>
      </c>
      <c r="E202" s="21">
        <f>+D202-C202</f>
        <v>16.930000000000007</v>
      </c>
      <c r="F202" s="22">
        <f>+E202/C202</f>
        <v>3.4067128139085655E-2</v>
      </c>
      <c r="H202" s="23">
        <f>+B202</f>
        <v>0.05</v>
      </c>
      <c r="I202" s="9">
        <f>+D202</f>
        <v>513.89</v>
      </c>
      <c r="J202" s="9">
        <f>ROUND(33.33+50*2.73+A202*0.10541,2)</f>
        <v>554.58000000000004</v>
      </c>
      <c r="K202" s="9">
        <f>J202+A202*$I$43</f>
        <v>567.09400131682082</v>
      </c>
      <c r="L202" s="9">
        <f>+J202-I202</f>
        <v>40.690000000000055</v>
      </c>
      <c r="M202" s="10">
        <f>+L202/I202</f>
        <v>7.9180369339742082E-2</v>
      </c>
      <c r="N202" s="11">
        <f>K202-I202</f>
        <v>53.204001316820836</v>
      </c>
      <c r="O202" s="16">
        <f>K202/I202-1</f>
        <v>0.10353188681784209</v>
      </c>
    </row>
    <row r="203" spans="1:15" ht="14.1" customHeight="1" x14ac:dyDescent="0.25">
      <c r="A203" s="18">
        <f t="shared" ref="A203:A205" si="71">ROUND(100*730*B203,0)</f>
        <v>7300</v>
      </c>
      <c r="B203" s="20">
        <v>0.1</v>
      </c>
      <c r="C203" s="27">
        <f t="shared" ref="C203:C205" si="72">ROUND(29.89+50*2.44+A203*0.09454,2)</f>
        <v>842.03</v>
      </c>
      <c r="D203" s="27">
        <f t="shared" ref="D203:D205" si="73">ROUND(30.89+50*2.53+A203*0.09767,2)</f>
        <v>870.38</v>
      </c>
      <c r="E203" s="21">
        <f>+D203-C203</f>
        <v>28.350000000000023</v>
      </c>
      <c r="F203" s="22">
        <f>+E203/C203</f>
        <v>3.3668634134175771E-2</v>
      </c>
      <c r="H203" s="23">
        <f>+B203</f>
        <v>0.1</v>
      </c>
      <c r="I203" s="9">
        <f>+D203</f>
        <v>870.38</v>
      </c>
      <c r="J203" s="9">
        <f t="shared" ref="J203:J205" si="74">ROUND(33.33+50*2.73+A203*0.10541,2)</f>
        <v>939.32</v>
      </c>
      <c r="K203" s="9">
        <f t="shared" ref="K203:K205" si="75">J203+A203*$I$43</f>
        <v>964.34800263364161</v>
      </c>
      <c r="L203" s="9">
        <f>+J203-I203</f>
        <v>68.940000000000055</v>
      </c>
      <c r="M203" s="10">
        <f>+L203/I203</f>
        <v>7.920678324410034E-2</v>
      </c>
      <c r="N203" s="11">
        <f t="shared" ref="N203:N205" si="76">K203-I203</f>
        <v>93.968002633641618</v>
      </c>
      <c r="O203" s="16">
        <f t="shared" ref="O203:O205" si="77">K203/I203-1</f>
        <v>0.10796204259477649</v>
      </c>
    </row>
    <row r="204" spans="1:15" ht="14.1" customHeight="1" x14ac:dyDescent="0.25">
      <c r="A204" s="18">
        <f t="shared" si="71"/>
        <v>10950</v>
      </c>
      <c r="B204" s="20">
        <v>0.15</v>
      </c>
      <c r="C204" s="27">
        <f t="shared" si="72"/>
        <v>1187.0999999999999</v>
      </c>
      <c r="D204" s="27">
        <f t="shared" si="73"/>
        <v>1226.8800000000001</v>
      </c>
      <c r="E204" s="21">
        <f>+D204-C204</f>
        <v>39.7800000000002</v>
      </c>
      <c r="F204" s="22">
        <f>+E204/C204</f>
        <v>3.3510235026535426E-2</v>
      </c>
      <c r="H204" s="23">
        <f>+B204</f>
        <v>0.15</v>
      </c>
      <c r="I204" s="9">
        <f>+D204</f>
        <v>1226.8800000000001</v>
      </c>
      <c r="J204" s="9">
        <f t="shared" si="74"/>
        <v>1324.07</v>
      </c>
      <c r="K204" s="9">
        <f t="shared" si="75"/>
        <v>1361.6120039504622</v>
      </c>
      <c r="L204" s="9">
        <f>+J204-I204</f>
        <v>97.189999999999827</v>
      </c>
      <c r="M204" s="10">
        <f>+L204/I204</f>
        <v>7.921720135628571E-2</v>
      </c>
      <c r="N204" s="11">
        <f t="shared" si="76"/>
        <v>134.73200395046206</v>
      </c>
      <c r="O204" s="16">
        <f t="shared" si="77"/>
        <v>0.10981677421627389</v>
      </c>
    </row>
    <row r="205" spans="1:15" ht="14.1" customHeight="1" x14ac:dyDescent="0.25">
      <c r="A205" s="18">
        <f t="shared" si="71"/>
        <v>14600</v>
      </c>
      <c r="B205" s="20">
        <v>0.2</v>
      </c>
      <c r="C205" s="27">
        <f t="shared" si="72"/>
        <v>1532.17</v>
      </c>
      <c r="D205" s="27">
        <f t="shared" si="73"/>
        <v>1583.37</v>
      </c>
      <c r="E205" s="21">
        <f>+D205-C205</f>
        <v>51.199999999999818</v>
      </c>
      <c r="F205" s="22">
        <f>+E205/C205</f>
        <v>3.3416657420521099E-2</v>
      </c>
      <c r="H205" s="23">
        <f>+B205</f>
        <v>0.2</v>
      </c>
      <c r="I205" s="9">
        <f>+D205</f>
        <v>1583.37</v>
      </c>
      <c r="J205" s="9">
        <f t="shared" si="74"/>
        <v>1708.82</v>
      </c>
      <c r="K205" s="9">
        <f t="shared" si="75"/>
        <v>1758.8760052672831</v>
      </c>
      <c r="L205" s="9">
        <f>+J205-I205</f>
        <v>125.45000000000005</v>
      </c>
      <c r="M205" s="10">
        <f>+L205/I205</f>
        <v>7.9229744153293327E-2</v>
      </c>
      <c r="N205" s="11">
        <f t="shared" si="76"/>
        <v>175.50600526728317</v>
      </c>
      <c r="O205" s="16">
        <f t="shared" si="77"/>
        <v>0.11084333116535183</v>
      </c>
    </row>
    <row r="206" spans="1:15" ht="14.1" customHeight="1" x14ac:dyDescent="0.25"/>
    <row r="207" spans="1:15" ht="14.1" customHeight="1" x14ac:dyDescent="0.25"/>
    <row r="208" spans="1:15" ht="14.1" customHeight="1" x14ac:dyDescent="0.25"/>
    <row r="209" spans="1:15" s="37" customFormat="1" ht="16.5" customHeight="1" x14ac:dyDescent="0.3">
      <c r="A209" s="36"/>
      <c r="B209" s="53" t="s">
        <v>44</v>
      </c>
      <c r="C209" s="53"/>
      <c r="D209" s="53"/>
      <c r="E209" s="53"/>
      <c r="F209" s="53"/>
      <c r="H209" s="53" t="str">
        <f>+B209</f>
        <v>Limited Use Billing Demand - General Service Medium</v>
      </c>
      <c r="I209" s="53"/>
      <c r="J209" s="53"/>
      <c r="K209" s="53"/>
      <c r="L209" s="53"/>
      <c r="M209" s="53"/>
    </row>
    <row r="210" spans="1:15" s="37" customFormat="1" ht="16.5" customHeight="1" x14ac:dyDescent="0.3">
      <c r="A210" s="36"/>
      <c r="B210" s="53" t="s">
        <v>30</v>
      </c>
      <c r="C210" s="53"/>
      <c r="D210" s="53"/>
      <c r="E210" s="53"/>
      <c r="F210" s="53"/>
      <c r="H210" s="53" t="s">
        <v>30</v>
      </c>
      <c r="I210" s="53"/>
      <c r="J210" s="53"/>
      <c r="K210" s="53"/>
      <c r="L210" s="53"/>
      <c r="M210" s="53"/>
    </row>
    <row r="211" spans="1:15" ht="14.1" customHeight="1" x14ac:dyDescent="0.25"/>
    <row r="212" spans="1:15" ht="14.1" customHeight="1" x14ac:dyDescent="0.25">
      <c r="B212" s="54" t="s">
        <v>45</v>
      </c>
      <c r="C212" s="54"/>
      <c r="H212" s="54" t="s">
        <v>45</v>
      </c>
      <c r="I212" s="54"/>
      <c r="N212" s="60" t="s">
        <v>70</v>
      </c>
      <c r="O212" s="60"/>
    </row>
    <row r="213" spans="1:15" ht="14.1" customHeight="1" x14ac:dyDescent="0.25">
      <c r="N213" s="59"/>
      <c r="O213" s="59"/>
    </row>
    <row r="214" spans="1:15" ht="14.1" customHeight="1" x14ac:dyDescent="0.25">
      <c r="B214" s="5" t="s">
        <v>20</v>
      </c>
      <c r="C214" s="6">
        <f>+$C$8</f>
        <v>42583</v>
      </c>
      <c r="D214" s="6">
        <f>+$D$8</f>
        <v>42948</v>
      </c>
      <c r="E214" s="5" t="s">
        <v>3</v>
      </c>
      <c r="F214" s="5" t="s">
        <v>4</v>
      </c>
      <c r="H214" s="5" t="s">
        <v>20</v>
      </c>
      <c r="I214" s="6">
        <f>+$I$8</f>
        <v>42948</v>
      </c>
      <c r="J214" s="6">
        <f>+$J$8</f>
        <v>43191</v>
      </c>
      <c r="K214" s="6" t="s">
        <v>64</v>
      </c>
      <c r="L214" s="5" t="s">
        <v>3</v>
      </c>
      <c r="M214" s="5" t="s">
        <v>4</v>
      </c>
      <c r="N214" s="5" t="s">
        <v>3</v>
      </c>
      <c r="O214" s="5" t="s">
        <v>4</v>
      </c>
    </row>
    <row r="215" spans="1:15" ht="14.1" customHeight="1" x14ac:dyDescent="0.25">
      <c r="B215" s="7" t="s">
        <v>21</v>
      </c>
      <c r="C215" s="7" t="s">
        <v>6</v>
      </c>
      <c r="D215" s="7" t="s">
        <v>6</v>
      </c>
      <c r="E215" s="7" t="s">
        <v>7</v>
      </c>
      <c r="F215" s="7" t="s">
        <v>8</v>
      </c>
      <c r="H215" s="7" t="s">
        <v>21</v>
      </c>
      <c r="I215" s="7" t="s">
        <v>6</v>
      </c>
      <c r="J215" s="7" t="s">
        <v>6</v>
      </c>
      <c r="K215" s="7" t="str">
        <f>J215</f>
        <v>$ / Month</v>
      </c>
      <c r="L215" s="7" t="s">
        <v>7</v>
      </c>
      <c r="M215" s="7" t="s">
        <v>8</v>
      </c>
      <c r="N215" s="7" t="s">
        <v>69</v>
      </c>
      <c r="O215" s="7" t="s">
        <v>8</v>
      </c>
    </row>
    <row r="216" spans="1:15" ht="14.1" customHeight="1" x14ac:dyDescent="0.25">
      <c r="A216" s="18">
        <f>ROUND(500*730*B216,0)</f>
        <v>18250</v>
      </c>
      <c r="B216" s="20">
        <f>+B202</f>
        <v>0.05</v>
      </c>
      <c r="C216" s="27">
        <f>ROUND(31.55+450*2.44+A216*0.09454,2)</f>
        <v>2854.91</v>
      </c>
      <c r="D216" s="27">
        <f>ROUND(32.61+450*2.53+A216*0.09767,2)</f>
        <v>2953.59</v>
      </c>
      <c r="E216" s="21">
        <f>+D216-C216</f>
        <v>98.680000000000291</v>
      </c>
      <c r="F216" s="22">
        <f>+E216/C216</f>
        <v>3.4565012557313646E-2</v>
      </c>
      <c r="H216" s="23">
        <f>+B216</f>
        <v>0.05</v>
      </c>
      <c r="I216" s="9">
        <f>+D216</f>
        <v>2953.59</v>
      </c>
      <c r="J216" s="9">
        <f>ROUND(35.19+450*2.73+A216*0.10541,2)</f>
        <v>3187.42</v>
      </c>
      <c r="K216" s="9">
        <f>J216+A216*$I$43</f>
        <v>3249.9900065841039</v>
      </c>
      <c r="L216" s="9">
        <f>+J216-I216</f>
        <v>233.82999999999993</v>
      </c>
      <c r="M216" s="10">
        <f>+L216/I216</f>
        <v>7.9168063272153519E-2</v>
      </c>
      <c r="N216" s="11">
        <f>K216-I216</f>
        <v>296.40000658410372</v>
      </c>
      <c r="O216" s="16">
        <f>K216/I216-1</f>
        <v>0.1003524546684218</v>
      </c>
    </row>
    <row r="217" spans="1:15" ht="14.1" customHeight="1" x14ac:dyDescent="0.25">
      <c r="A217" s="18">
        <f t="shared" ref="A217:A219" si="78">ROUND(500*730*B217,0)</f>
        <v>36500</v>
      </c>
      <c r="B217" s="20">
        <f>+B203</f>
        <v>0.1</v>
      </c>
      <c r="C217" s="27">
        <f t="shared" ref="C217:C219" si="79">ROUND(31.55+450*2.44+A217*0.09454,2)</f>
        <v>4580.26</v>
      </c>
      <c r="D217" s="27">
        <f t="shared" ref="D217:D219" si="80">ROUND(32.61+450*2.53+A217*0.09767,2)</f>
        <v>4736.07</v>
      </c>
      <c r="E217" s="21">
        <f>+D217-C217</f>
        <v>155.80999999999949</v>
      </c>
      <c r="F217" s="22">
        <f>+E217/C217</f>
        <v>3.4017719518105845E-2</v>
      </c>
      <c r="H217" s="23">
        <f>+B217</f>
        <v>0.1</v>
      </c>
      <c r="I217" s="9">
        <f>+D217</f>
        <v>4736.07</v>
      </c>
      <c r="J217" s="9">
        <f t="shared" ref="J217:J219" si="81">ROUND(35.19+450*2.73+A217*0.10541,2)</f>
        <v>5111.16</v>
      </c>
      <c r="K217" s="9">
        <f t="shared" ref="K217:K219" si="82">J217+A217*$I$43</f>
        <v>5236.3000131682074</v>
      </c>
      <c r="L217" s="9">
        <f>+J217-I217</f>
        <v>375.09000000000015</v>
      </c>
      <c r="M217" s="10">
        <f>+L217/I217</f>
        <v>7.9198576034560333E-2</v>
      </c>
      <c r="N217" s="11">
        <f t="shared" ref="N217:N219" si="83">K217-I217</f>
        <v>500.23001316820773</v>
      </c>
      <c r="O217" s="16">
        <f t="shared" ref="O217:O219" si="84">K217/I217-1</f>
        <v>0.10562133016788344</v>
      </c>
    </row>
    <row r="218" spans="1:15" ht="14.1" customHeight="1" x14ac:dyDescent="0.25">
      <c r="A218" s="18">
        <f t="shared" si="78"/>
        <v>54750</v>
      </c>
      <c r="B218" s="20">
        <f>+B204</f>
        <v>0.15</v>
      </c>
      <c r="C218" s="27">
        <f t="shared" si="79"/>
        <v>6305.62</v>
      </c>
      <c r="D218" s="27">
        <f t="shared" si="80"/>
        <v>6518.54</v>
      </c>
      <c r="E218" s="21">
        <f>+D218-C218</f>
        <v>212.92000000000007</v>
      </c>
      <c r="F218" s="22">
        <f>+E218/C218</f>
        <v>3.3766703353516399E-2</v>
      </c>
      <c r="H218" s="23">
        <f>+B218</f>
        <v>0.15</v>
      </c>
      <c r="I218" s="9">
        <f>+D218</f>
        <v>6518.54</v>
      </c>
      <c r="J218" s="9">
        <f t="shared" si="81"/>
        <v>7034.89</v>
      </c>
      <c r="K218" s="9">
        <f t="shared" si="82"/>
        <v>7222.6000197523117</v>
      </c>
      <c r="L218" s="9">
        <f>+J218-I218</f>
        <v>516.35000000000036</v>
      </c>
      <c r="M218" s="10">
        <f>+L218/I218</f>
        <v>7.9212523049640007E-2</v>
      </c>
      <c r="N218" s="11">
        <f t="shared" si="83"/>
        <v>704.06001975231175</v>
      </c>
      <c r="O218" s="16">
        <f t="shared" si="84"/>
        <v>0.10800885163737761</v>
      </c>
    </row>
    <row r="219" spans="1:15" ht="14.1" customHeight="1" x14ac:dyDescent="0.25">
      <c r="A219" s="18">
        <f t="shared" si="78"/>
        <v>73000</v>
      </c>
      <c r="B219" s="20">
        <f>+B205</f>
        <v>0.2</v>
      </c>
      <c r="C219" s="27">
        <f t="shared" si="79"/>
        <v>8030.97</v>
      </c>
      <c r="D219" s="27">
        <f t="shared" si="80"/>
        <v>8301.02</v>
      </c>
      <c r="E219" s="21">
        <f>+D219-C219</f>
        <v>270.05000000000018</v>
      </c>
      <c r="F219" s="22">
        <f>+E219/C219</f>
        <v>3.3626075056935857E-2</v>
      </c>
      <c r="H219" s="23">
        <f>+B219</f>
        <v>0.2</v>
      </c>
      <c r="I219" s="9">
        <f>+D219</f>
        <v>8301.02</v>
      </c>
      <c r="J219" s="9">
        <f t="shared" si="81"/>
        <v>8958.6200000000008</v>
      </c>
      <c r="K219" s="9">
        <f t="shared" si="82"/>
        <v>9208.900026336416</v>
      </c>
      <c r="L219" s="9">
        <f>+J219-I219</f>
        <v>657.60000000000036</v>
      </c>
      <c r="M219" s="10">
        <f>+L219/I219</f>
        <v>7.9219180293506136E-2</v>
      </c>
      <c r="N219" s="11">
        <f t="shared" si="83"/>
        <v>907.88002633641554</v>
      </c>
      <c r="O219" s="16">
        <f t="shared" si="84"/>
        <v>0.10936969509005112</v>
      </c>
    </row>
    <row r="220" spans="1:15" ht="14.1" customHeight="1" x14ac:dyDescent="0.25"/>
    <row r="221" spans="1:15" ht="14.1" customHeight="1" x14ac:dyDescent="0.25"/>
    <row r="222" spans="1:15" ht="14.1" customHeight="1" x14ac:dyDescent="0.25"/>
    <row r="223" spans="1:15" ht="14.1" customHeight="1" x14ac:dyDescent="0.25"/>
    <row r="224" spans="1:15" ht="18" customHeight="1" x14ac:dyDescent="0.35">
      <c r="B224" s="55" t="s">
        <v>0</v>
      </c>
      <c r="C224" s="55"/>
      <c r="D224" s="55"/>
      <c r="E224" s="55"/>
      <c r="F224" s="55"/>
      <c r="H224" s="55" t="s">
        <v>0</v>
      </c>
      <c r="I224" s="55"/>
      <c r="J224" s="55"/>
      <c r="K224" s="55"/>
      <c r="L224" s="55"/>
      <c r="M224" s="55"/>
    </row>
    <row r="225" spans="1:15" ht="14.1" customHeight="1" x14ac:dyDescent="0.25"/>
    <row r="226" spans="1:15" s="37" customFormat="1" ht="18" customHeight="1" x14ac:dyDescent="0.3">
      <c r="A226" s="36"/>
      <c r="B226" s="53" t="s">
        <v>46</v>
      </c>
      <c r="C226" s="53"/>
      <c r="D226" s="53"/>
      <c r="E226" s="53"/>
      <c r="F226" s="53"/>
      <c r="H226" s="53" t="s">
        <v>46</v>
      </c>
      <c r="I226" s="53"/>
      <c r="J226" s="53"/>
      <c r="K226" s="53"/>
      <c r="L226" s="53"/>
      <c r="M226" s="53"/>
    </row>
    <row r="227" spans="1:15" s="37" customFormat="1" ht="18" customHeight="1" x14ac:dyDescent="0.3">
      <c r="A227" s="36"/>
      <c r="B227" s="53" t="s">
        <v>34</v>
      </c>
      <c r="C227" s="53"/>
      <c r="D227" s="53"/>
      <c r="E227" s="53"/>
      <c r="F227" s="53"/>
      <c r="H227" s="53" t="s">
        <v>34</v>
      </c>
      <c r="I227" s="53"/>
      <c r="J227" s="53"/>
      <c r="K227" s="53"/>
      <c r="L227" s="53"/>
      <c r="M227" s="53"/>
    </row>
    <row r="228" spans="1:15" ht="14.1" customHeight="1" x14ac:dyDescent="0.25"/>
    <row r="229" spans="1:15" ht="14.1" customHeight="1" x14ac:dyDescent="0.25">
      <c r="B229" s="54" t="s">
        <v>47</v>
      </c>
      <c r="C229" s="54"/>
      <c r="H229" s="54" t="s">
        <v>47</v>
      </c>
      <c r="I229" s="54"/>
      <c r="N229" s="60" t="s">
        <v>70</v>
      </c>
      <c r="O229" s="60"/>
    </row>
    <row r="230" spans="1:15" ht="14.1" customHeight="1" x14ac:dyDescent="0.25">
      <c r="N230" s="59"/>
      <c r="O230" s="59"/>
    </row>
    <row r="231" spans="1:15" ht="14.1" customHeight="1" x14ac:dyDescent="0.25">
      <c r="B231" s="5" t="s">
        <v>20</v>
      </c>
      <c r="C231" s="6">
        <f>+$C$8</f>
        <v>42583</v>
      </c>
      <c r="D231" s="6">
        <f>+$D$8</f>
        <v>42948</v>
      </c>
      <c r="E231" s="5" t="s">
        <v>3</v>
      </c>
      <c r="F231" s="5" t="s">
        <v>4</v>
      </c>
      <c r="H231" s="5" t="s">
        <v>20</v>
      </c>
      <c r="I231" s="6">
        <f>+$I$8</f>
        <v>42948</v>
      </c>
      <c r="J231" s="6">
        <f>+$J$8</f>
        <v>43191</v>
      </c>
      <c r="K231" s="6" t="s">
        <v>64</v>
      </c>
      <c r="L231" s="5" t="s">
        <v>3</v>
      </c>
      <c r="M231" s="5" t="s">
        <v>4</v>
      </c>
      <c r="N231" s="5" t="s">
        <v>3</v>
      </c>
      <c r="O231" s="5" t="s">
        <v>4</v>
      </c>
    </row>
    <row r="232" spans="1:15" ht="14.1" customHeight="1" x14ac:dyDescent="0.25">
      <c r="B232" s="7" t="s">
        <v>21</v>
      </c>
      <c r="C232" s="7" t="s">
        <v>6</v>
      </c>
      <c r="D232" s="7" t="s">
        <v>6</v>
      </c>
      <c r="E232" s="7" t="s">
        <v>7</v>
      </c>
      <c r="F232" s="7" t="s">
        <v>8</v>
      </c>
      <c r="H232" s="7" t="s">
        <v>21</v>
      </c>
      <c r="I232" s="7" t="s">
        <v>6</v>
      </c>
      <c r="J232" s="7" t="s">
        <v>6</v>
      </c>
      <c r="K232" s="7" t="str">
        <f>J232</f>
        <v>$ / Month</v>
      </c>
      <c r="L232" s="7" t="s">
        <v>7</v>
      </c>
      <c r="M232" s="7" t="s">
        <v>8</v>
      </c>
      <c r="N232" s="7" t="s">
        <v>69</v>
      </c>
      <c r="O232" s="7" t="s">
        <v>8</v>
      </c>
    </row>
    <row r="233" spans="1:15" ht="14.1" customHeight="1" x14ac:dyDescent="0.25">
      <c r="A233" s="18">
        <f>ROUND(5000*730*B233,0)</f>
        <v>182500</v>
      </c>
      <c r="B233" s="20">
        <v>0.05</v>
      </c>
      <c r="C233" s="35">
        <f>ROUND(5000*2.07+A233*0.08374,0)</f>
        <v>25633</v>
      </c>
      <c r="D233" s="35">
        <f>ROUND(5000*2.14+A233*0.08655,0)</f>
        <v>26495</v>
      </c>
      <c r="E233" s="41">
        <f>+D233-C233</f>
        <v>862</v>
      </c>
      <c r="F233" s="22">
        <f>+E233/C233</f>
        <v>3.3628525728553037E-2</v>
      </c>
      <c r="H233" s="23">
        <f>+B233</f>
        <v>0.05</v>
      </c>
      <c r="I233" s="38">
        <f>+D233</f>
        <v>26495</v>
      </c>
      <c r="J233" s="35">
        <f>ROUND(5000*2.31+A233*0.0934,0)</f>
        <v>28596</v>
      </c>
      <c r="K233" s="9">
        <f>J233+A233*$I$43</f>
        <v>29221.700065841036</v>
      </c>
      <c r="L233" s="9">
        <f>+J233-I233</f>
        <v>2101</v>
      </c>
      <c r="M233" s="10">
        <f>+L233/I233</f>
        <v>7.9297980751085115E-2</v>
      </c>
      <c r="N233" s="11">
        <f>K233-I233</f>
        <v>2726.7000658410361</v>
      </c>
      <c r="O233" s="16">
        <f>K233/I233-1</f>
        <v>0.10291375979773676</v>
      </c>
    </row>
    <row r="234" spans="1:15" ht="14.1" customHeight="1" x14ac:dyDescent="0.25">
      <c r="A234" s="18">
        <f t="shared" ref="A234:A236" si="85">ROUND(5000*730*B234,0)</f>
        <v>365000</v>
      </c>
      <c r="B234" s="20">
        <v>0.1</v>
      </c>
      <c r="C234" s="35">
        <f t="shared" ref="C234:C236" si="86">ROUND(5000*2.07+A234*0.08374,0)</f>
        <v>40915</v>
      </c>
      <c r="D234" s="35">
        <f>ROUND(5000*2.14+A234*0.08655,0)</f>
        <v>42291</v>
      </c>
      <c r="E234" s="41">
        <f>+D234-C234</f>
        <v>1376</v>
      </c>
      <c r="F234" s="22">
        <f>+E234/C234</f>
        <v>3.3630697788097276E-2</v>
      </c>
      <c r="H234" s="23">
        <f>+B234</f>
        <v>0.1</v>
      </c>
      <c r="I234" s="38">
        <f>+D234</f>
        <v>42291</v>
      </c>
      <c r="J234" s="35">
        <f>ROUND(5000*2.31+A234*0.0934,0)</f>
        <v>45641</v>
      </c>
      <c r="K234" s="9">
        <f t="shared" ref="K234:K236" si="87">J234+A234*$I$43</f>
        <v>46892.400131682072</v>
      </c>
      <c r="L234" s="9">
        <f>+J234-I234</f>
        <v>3350</v>
      </c>
      <c r="M234" s="10">
        <f>+L234/I234</f>
        <v>7.9213071339055585E-2</v>
      </c>
      <c r="N234" s="11">
        <f t="shared" ref="N234:N236" si="88">K234-I234</f>
        <v>4601.4001316820722</v>
      </c>
      <c r="O234" s="16">
        <f t="shared" ref="O234:O236" si="89">K234/I234-1</f>
        <v>0.1088032945941706</v>
      </c>
    </row>
    <row r="235" spans="1:15" ht="14.1" customHeight="1" x14ac:dyDescent="0.25">
      <c r="A235" s="18">
        <f t="shared" si="85"/>
        <v>547500</v>
      </c>
      <c r="B235" s="20">
        <v>0.15</v>
      </c>
      <c r="C235" s="35">
        <f t="shared" si="86"/>
        <v>56198</v>
      </c>
      <c r="D235" s="35">
        <f>ROUND(5000*2.14+A235*0.08655,0)</f>
        <v>58086</v>
      </c>
      <c r="E235" s="41">
        <f>+D235-C235</f>
        <v>1888</v>
      </c>
      <c r="F235" s="22">
        <f>+E235/C235</f>
        <v>3.3595501619274708E-2</v>
      </c>
      <c r="H235" s="23">
        <f>+B235</f>
        <v>0.15</v>
      </c>
      <c r="I235" s="38">
        <f>+D235</f>
        <v>58086</v>
      </c>
      <c r="J235" s="35">
        <f>ROUND(5000*2.31+A235*0.0934,0)</f>
        <v>62687</v>
      </c>
      <c r="K235" s="9">
        <f t="shared" si="87"/>
        <v>64564.100197523112</v>
      </c>
      <c r="L235" s="9">
        <f>+J235-I235</f>
        <v>4601</v>
      </c>
      <c r="M235" s="10">
        <f>+L235/I235</f>
        <v>7.9210136693867714E-2</v>
      </c>
      <c r="N235" s="11">
        <f t="shared" si="88"/>
        <v>6478.100197523112</v>
      </c>
      <c r="O235" s="16">
        <f t="shared" si="89"/>
        <v>0.11152601655343997</v>
      </c>
    </row>
    <row r="236" spans="1:15" ht="14.1" customHeight="1" x14ac:dyDescent="0.25">
      <c r="A236" s="18">
        <f t="shared" si="85"/>
        <v>730000</v>
      </c>
      <c r="B236" s="20">
        <v>0.2</v>
      </c>
      <c r="C236" s="35">
        <f t="shared" si="86"/>
        <v>71480</v>
      </c>
      <c r="D236" s="35">
        <f>ROUND(5000*2.14+A236*0.08655,0)</f>
        <v>73882</v>
      </c>
      <c r="E236" s="41">
        <f>+D236-C236</f>
        <v>2402</v>
      </c>
      <c r="F236" s="22">
        <f>+E236/C236</f>
        <v>3.3603805260212644E-2</v>
      </c>
      <c r="H236" s="23">
        <f>+B236</f>
        <v>0.2</v>
      </c>
      <c r="I236" s="38">
        <f>+D236</f>
        <v>73882</v>
      </c>
      <c r="J236" s="35">
        <f>ROUND(5000*2.31+A236*0.0934,0)</f>
        <v>79732</v>
      </c>
      <c r="K236" s="9">
        <f t="shared" si="87"/>
        <v>82234.800263364144</v>
      </c>
      <c r="L236" s="9">
        <f>+J236-I236</f>
        <v>5850</v>
      </c>
      <c r="M236" s="10">
        <f>+L236/I236</f>
        <v>7.9180314555642783E-2</v>
      </c>
      <c r="N236" s="11">
        <f t="shared" si="88"/>
        <v>8352.8002633641445</v>
      </c>
      <c r="O236" s="16">
        <f t="shared" si="89"/>
        <v>0.11305595765361187</v>
      </c>
    </row>
    <row r="237" spans="1:15" ht="14.1" customHeight="1" x14ac:dyDescent="0.25"/>
    <row r="238" spans="1:15" ht="14.1" customHeight="1" x14ac:dyDescent="0.25"/>
    <row r="239" spans="1:15" s="37" customFormat="1" ht="18" customHeight="1" x14ac:dyDescent="0.3">
      <c r="A239" s="36"/>
      <c r="B239" s="53" t="s">
        <v>48</v>
      </c>
      <c r="C239" s="53"/>
      <c r="D239" s="53"/>
      <c r="E239" s="53"/>
      <c r="F239" s="53"/>
      <c r="H239" s="53" t="s">
        <v>48</v>
      </c>
      <c r="I239" s="53"/>
      <c r="J239" s="53"/>
      <c r="K239" s="53"/>
      <c r="L239" s="53"/>
      <c r="M239" s="53"/>
    </row>
    <row r="240" spans="1:15" s="37" customFormat="1" ht="18" customHeight="1" x14ac:dyDescent="0.3">
      <c r="A240" s="36"/>
      <c r="B240" s="53" t="s">
        <v>37</v>
      </c>
      <c r="C240" s="53"/>
      <c r="D240" s="53"/>
      <c r="E240" s="53"/>
      <c r="F240" s="53"/>
      <c r="H240" s="53" t="s">
        <v>37</v>
      </c>
      <c r="I240" s="53"/>
      <c r="J240" s="53"/>
      <c r="K240" s="53"/>
      <c r="L240" s="53"/>
      <c r="M240" s="53"/>
    </row>
    <row r="241" spans="1:15" ht="14.1" customHeight="1" x14ac:dyDescent="0.25"/>
    <row r="242" spans="1:15" ht="14.1" customHeight="1" x14ac:dyDescent="0.25">
      <c r="B242" s="54" t="s">
        <v>49</v>
      </c>
      <c r="C242" s="54"/>
      <c r="H242" s="54" t="s">
        <v>49</v>
      </c>
      <c r="I242" s="54"/>
      <c r="N242" s="60" t="s">
        <v>70</v>
      </c>
      <c r="O242" s="60"/>
    </row>
    <row r="243" spans="1:15" ht="14.1" customHeight="1" x14ac:dyDescent="0.25">
      <c r="N243" s="59"/>
      <c r="O243" s="59"/>
    </row>
    <row r="244" spans="1:15" ht="14.1" customHeight="1" x14ac:dyDescent="0.25">
      <c r="B244" s="5" t="s">
        <v>20</v>
      </c>
      <c r="C244" s="6">
        <f>+$C$8</f>
        <v>42583</v>
      </c>
      <c r="D244" s="6">
        <f>+$D$8</f>
        <v>42948</v>
      </c>
      <c r="E244" s="5" t="s">
        <v>3</v>
      </c>
      <c r="F244" s="5" t="s">
        <v>4</v>
      </c>
      <c r="H244" s="5" t="s">
        <v>20</v>
      </c>
      <c r="I244" s="6">
        <f>+$I$8</f>
        <v>42948</v>
      </c>
      <c r="J244" s="6">
        <f>+$J$8</f>
        <v>43191</v>
      </c>
      <c r="K244" s="6" t="s">
        <v>64</v>
      </c>
      <c r="L244" s="5" t="s">
        <v>3</v>
      </c>
      <c r="M244" s="5" t="s">
        <v>4</v>
      </c>
      <c r="N244" s="5" t="s">
        <v>3</v>
      </c>
      <c r="O244" s="5" t="s">
        <v>4</v>
      </c>
    </row>
    <row r="245" spans="1:15" ht="14.1" customHeight="1" x14ac:dyDescent="0.25">
      <c r="B245" s="7" t="s">
        <v>21</v>
      </c>
      <c r="C245" s="7" t="s">
        <v>6</v>
      </c>
      <c r="D245" s="7" t="s">
        <v>6</v>
      </c>
      <c r="E245" s="7" t="s">
        <v>7</v>
      </c>
      <c r="F245" s="7" t="s">
        <v>8</v>
      </c>
      <c r="H245" s="7" t="s">
        <v>21</v>
      </c>
      <c r="I245" s="7" t="s">
        <v>6</v>
      </c>
      <c r="J245" s="7" t="s">
        <v>6</v>
      </c>
      <c r="K245" s="7" t="str">
        <f>J245</f>
        <v>$ / Month</v>
      </c>
      <c r="L245" s="7" t="s">
        <v>7</v>
      </c>
      <c r="M245" s="7" t="s">
        <v>8</v>
      </c>
      <c r="N245" s="7" t="s">
        <v>69</v>
      </c>
      <c r="O245" s="7" t="s">
        <v>8</v>
      </c>
    </row>
    <row r="246" spans="1:15" ht="14.1" customHeight="1" x14ac:dyDescent="0.25">
      <c r="A246" s="18">
        <f>ROUND(10000*730*B246,0)</f>
        <v>365000</v>
      </c>
      <c r="B246" s="20">
        <f>+B233</f>
        <v>0.05</v>
      </c>
      <c r="C246" s="35">
        <f>ROUND(10000*1.78+A246*0.07428,0)</f>
        <v>44912</v>
      </c>
      <c r="D246" s="35">
        <f>ROUND(10000*1.84+A246*0.07679,0)</f>
        <v>46428</v>
      </c>
      <c r="E246" s="41">
        <f>+D246-C246</f>
        <v>1516</v>
      </c>
      <c r="F246" s="22">
        <f>+E246/C246</f>
        <v>3.3754898468115427E-2</v>
      </c>
      <c r="H246" s="23">
        <f>+B246</f>
        <v>0.05</v>
      </c>
      <c r="I246" s="38">
        <f>+D246</f>
        <v>46428</v>
      </c>
      <c r="J246" s="35">
        <f>ROUND(10000*1.98+A246*0.08289,0)</f>
        <v>50055</v>
      </c>
      <c r="K246" s="9">
        <f>J246+A246*$I$43</f>
        <v>51306.400131682072</v>
      </c>
      <c r="L246" s="9">
        <f>+J246-I246</f>
        <v>3627</v>
      </c>
      <c r="M246" s="10">
        <f>+L246/I246</f>
        <v>7.8120961488756788E-2</v>
      </c>
      <c r="N246" s="11">
        <f>K246-I246</f>
        <v>4878.4001316820722</v>
      </c>
      <c r="O246" s="16">
        <f>K246/I246-1</f>
        <v>0.10507452683040563</v>
      </c>
    </row>
    <row r="247" spans="1:15" ht="14.1" customHeight="1" x14ac:dyDescent="0.25">
      <c r="A247" s="18">
        <f t="shared" ref="A247:A249" si="90">ROUND(10000*730*B247,0)</f>
        <v>730000</v>
      </c>
      <c r="B247" s="20">
        <f>+B234</f>
        <v>0.1</v>
      </c>
      <c r="C247" s="35">
        <f t="shared" ref="C247:C249" si="91">ROUND(10000*1.78+A247*0.07428,0)</f>
        <v>72024</v>
      </c>
      <c r="D247" s="35">
        <f>ROUND(10000*1.84+A247*0.07679,0)</f>
        <v>74457</v>
      </c>
      <c r="E247" s="41">
        <f>+D247-C247</f>
        <v>2433</v>
      </c>
      <c r="F247" s="22">
        <f>+E247/C247</f>
        <v>3.3780406531156285E-2</v>
      </c>
      <c r="H247" s="23">
        <f>+B247</f>
        <v>0.1</v>
      </c>
      <c r="I247" s="38">
        <f>+D247</f>
        <v>74457</v>
      </c>
      <c r="J247" s="35">
        <f>ROUND(10000*1.98+A247*0.08289,0)</f>
        <v>80310</v>
      </c>
      <c r="K247" s="9">
        <f t="shared" ref="K247:K249" si="92">J247+A247*$I$43</f>
        <v>82812.800263364144</v>
      </c>
      <c r="L247" s="9">
        <f>+J247-I247</f>
        <v>5853</v>
      </c>
      <c r="M247" s="10">
        <f>+L247/I247</f>
        <v>7.8609130101938027E-2</v>
      </c>
      <c r="N247" s="11">
        <f t="shared" ref="N247:N249" si="93">K247-I247</f>
        <v>8355.8002633641445</v>
      </c>
      <c r="O247" s="16">
        <f t="shared" ref="O247:O249" si="94">K247/I247-1</f>
        <v>0.11222316589929959</v>
      </c>
    </row>
    <row r="248" spans="1:15" ht="14.1" customHeight="1" x14ac:dyDescent="0.25">
      <c r="A248" s="18">
        <f t="shared" si="90"/>
        <v>1095000</v>
      </c>
      <c r="B248" s="20">
        <f>+B235</f>
        <v>0.15</v>
      </c>
      <c r="C248" s="35">
        <f t="shared" si="91"/>
        <v>99137</v>
      </c>
      <c r="D248" s="35">
        <f>ROUND(10000*1.84+A248*0.07679,0)</f>
        <v>102485</v>
      </c>
      <c r="E248" s="41">
        <f>+D248-C248</f>
        <v>3348</v>
      </c>
      <c r="F248" s="22">
        <f>+E248/C248</f>
        <v>3.3771447592725219E-2</v>
      </c>
      <c r="H248" s="23">
        <f>+B248</f>
        <v>0.15</v>
      </c>
      <c r="I248" s="38">
        <f>+D248</f>
        <v>102485</v>
      </c>
      <c r="J248" s="35">
        <f>ROUND(10000*1.98+A248*0.08289,0)</f>
        <v>110565</v>
      </c>
      <c r="K248" s="9">
        <f t="shared" si="92"/>
        <v>114319.20039504622</v>
      </c>
      <c r="L248" s="9">
        <f>+J248-I248</f>
        <v>8080</v>
      </c>
      <c r="M248" s="10">
        <f>+L248/I248</f>
        <v>7.8840805971605601E-2</v>
      </c>
      <c r="N248" s="11">
        <f t="shared" si="93"/>
        <v>11834.200395046224</v>
      </c>
      <c r="O248" s="16">
        <f t="shared" si="94"/>
        <v>0.11547251202660114</v>
      </c>
    </row>
    <row r="249" spans="1:15" ht="14.1" customHeight="1" x14ac:dyDescent="0.25">
      <c r="A249" s="18">
        <f t="shared" si="90"/>
        <v>1460000</v>
      </c>
      <c r="B249" s="20">
        <f>+B236</f>
        <v>0.2</v>
      </c>
      <c r="C249" s="35">
        <f t="shared" si="91"/>
        <v>126249</v>
      </c>
      <c r="D249" s="35">
        <f>ROUND(10000*1.84+A249*0.07679,0)</f>
        <v>130513</v>
      </c>
      <c r="E249" s="41">
        <f>+D249-C249</f>
        <v>4264</v>
      </c>
      <c r="F249" s="22">
        <f>+E249/C249</f>
        <v>3.3774524946732248E-2</v>
      </c>
      <c r="H249" s="23">
        <f>+B249</f>
        <v>0.2</v>
      </c>
      <c r="I249" s="38">
        <f>+D249</f>
        <v>130513</v>
      </c>
      <c r="J249" s="35">
        <f>ROUND(10000*1.98+A249*0.08289,0)</f>
        <v>140819</v>
      </c>
      <c r="K249" s="9">
        <f t="shared" si="92"/>
        <v>145824.60052672829</v>
      </c>
      <c r="L249" s="9">
        <f>+J249-I249</f>
        <v>10306</v>
      </c>
      <c r="M249" s="10">
        <f>+L249/I249</f>
        <v>7.8965313800157838E-2</v>
      </c>
      <c r="N249" s="11">
        <f t="shared" si="93"/>
        <v>15311.600526728289</v>
      </c>
      <c r="O249" s="16">
        <f t="shared" si="94"/>
        <v>0.11731858532658279</v>
      </c>
    </row>
    <row r="250" spans="1:15" ht="14.1" customHeight="1" x14ac:dyDescent="0.25"/>
    <row r="251" spans="1:15" ht="14.1" customHeight="1" x14ac:dyDescent="0.25"/>
    <row r="252" spans="1:15" s="37" customFormat="1" ht="17.25" customHeight="1" x14ac:dyDescent="0.3">
      <c r="A252" s="36"/>
      <c r="B252" s="53" t="s">
        <v>50</v>
      </c>
      <c r="C252" s="53"/>
      <c r="D252" s="53"/>
      <c r="E252" s="53"/>
      <c r="F252" s="53"/>
      <c r="H252" s="53" t="s">
        <v>50</v>
      </c>
      <c r="I252" s="53"/>
      <c r="J252" s="53"/>
      <c r="K252" s="53"/>
      <c r="L252" s="53"/>
      <c r="M252" s="53"/>
    </row>
    <row r="253" spans="1:15" s="37" customFormat="1" ht="17.25" customHeight="1" x14ac:dyDescent="0.3">
      <c r="A253" s="36"/>
      <c r="B253" s="53" t="s">
        <v>40</v>
      </c>
      <c r="C253" s="53"/>
      <c r="D253" s="53"/>
      <c r="E253" s="53"/>
      <c r="F253" s="53"/>
      <c r="H253" s="53" t="s">
        <v>40</v>
      </c>
      <c r="I253" s="53"/>
      <c r="J253" s="53"/>
      <c r="K253" s="53"/>
      <c r="L253" s="53"/>
      <c r="M253" s="53"/>
    </row>
    <row r="254" spans="1:15" ht="14.1" customHeight="1" x14ac:dyDescent="0.25"/>
    <row r="255" spans="1:15" ht="14.1" customHeight="1" x14ac:dyDescent="0.25">
      <c r="B255" s="54" t="s">
        <v>51</v>
      </c>
      <c r="C255" s="54"/>
      <c r="H255" s="54" t="s">
        <v>51</v>
      </c>
      <c r="I255" s="54"/>
      <c r="N255" s="60" t="s">
        <v>70</v>
      </c>
      <c r="O255" s="60"/>
    </row>
    <row r="256" spans="1:15" ht="14.1" customHeight="1" x14ac:dyDescent="0.25">
      <c r="N256" s="59"/>
      <c r="O256" s="59"/>
    </row>
    <row r="257" spans="1:15" ht="14.1" customHeight="1" x14ac:dyDescent="0.25">
      <c r="B257" s="5" t="s">
        <v>20</v>
      </c>
      <c r="C257" s="6">
        <f>+$C$8</f>
        <v>42583</v>
      </c>
      <c r="D257" s="6">
        <f>+$D$8</f>
        <v>42948</v>
      </c>
      <c r="E257" s="5" t="s">
        <v>3</v>
      </c>
      <c r="F257" s="5" t="s">
        <v>4</v>
      </c>
      <c r="H257" s="5" t="s">
        <v>20</v>
      </c>
      <c r="I257" s="6">
        <f>+$I$8</f>
        <v>42948</v>
      </c>
      <c r="J257" s="6">
        <f>+$J$8</f>
        <v>43191</v>
      </c>
      <c r="K257" s="6" t="s">
        <v>64</v>
      </c>
      <c r="L257" s="5" t="s">
        <v>3</v>
      </c>
      <c r="M257" s="5" t="s">
        <v>4</v>
      </c>
      <c r="N257" s="5" t="s">
        <v>3</v>
      </c>
      <c r="O257" s="5" t="s">
        <v>4</v>
      </c>
    </row>
    <row r="258" spans="1:15" ht="14.1" customHeight="1" x14ac:dyDescent="0.25">
      <c r="B258" s="7" t="s">
        <v>21</v>
      </c>
      <c r="C258" s="7" t="s">
        <v>6</v>
      </c>
      <c r="D258" s="7" t="s">
        <v>6</v>
      </c>
      <c r="E258" s="7" t="s">
        <v>7</v>
      </c>
      <c r="F258" s="7" t="s">
        <v>8</v>
      </c>
      <c r="H258" s="7" t="s">
        <v>21</v>
      </c>
      <c r="I258" s="7" t="s">
        <v>6</v>
      </c>
      <c r="J258" s="7" t="s">
        <v>6</v>
      </c>
      <c r="K258" s="7" t="str">
        <f>J258</f>
        <v>$ / Month</v>
      </c>
      <c r="L258" s="7" t="s">
        <v>7</v>
      </c>
      <c r="M258" s="7" t="s">
        <v>8</v>
      </c>
      <c r="N258" s="7" t="s">
        <v>69</v>
      </c>
      <c r="O258" s="7" t="s">
        <v>8</v>
      </c>
    </row>
    <row r="259" spans="1:15" ht="14.1" customHeight="1" x14ac:dyDescent="0.25">
      <c r="A259" s="18">
        <f>ROUND(50000*730*B259,0)</f>
        <v>1825000</v>
      </c>
      <c r="B259" s="20">
        <f>+B246</f>
        <v>0.05</v>
      </c>
      <c r="C259" s="35">
        <f>ROUND(50000*1.58+A259*0.06879,0)</f>
        <v>204542</v>
      </c>
      <c r="D259" s="35">
        <f>ROUND(50000*1.63+A259*0.07111,0)</f>
        <v>211276</v>
      </c>
      <c r="E259" s="41">
        <f>+D259-C259</f>
        <v>6734</v>
      </c>
      <c r="F259" s="22">
        <f>+E259/C259</f>
        <v>3.2922333799415282E-2</v>
      </c>
      <c r="H259" s="23">
        <f>+B259</f>
        <v>0.05</v>
      </c>
      <c r="I259" s="38">
        <f>+D259</f>
        <v>211276</v>
      </c>
      <c r="J259" s="35">
        <f>ROUND(50000*1.76+A259*0.07675,0)</f>
        <v>228069</v>
      </c>
      <c r="K259" s="9">
        <f>J259+A259*$I$43</f>
        <v>234326.00065841037</v>
      </c>
      <c r="L259" s="9">
        <f>+J259-I259</f>
        <v>16793</v>
      </c>
      <c r="M259" s="10">
        <f>+L259/I259</f>
        <v>7.9483708513981705E-2</v>
      </c>
      <c r="N259" s="11">
        <f>K259-I259</f>
        <v>23050.000658410368</v>
      </c>
      <c r="O259" s="16">
        <f>K259/I259-1</f>
        <v>0.10909900158281283</v>
      </c>
    </row>
    <row r="260" spans="1:15" ht="14.1" customHeight="1" x14ac:dyDescent="0.25">
      <c r="A260" s="18">
        <f t="shared" ref="A260:A262" si="95">ROUND(50000*730*B260,0)</f>
        <v>3650000</v>
      </c>
      <c r="B260" s="20">
        <f>+B247</f>
        <v>0.1</v>
      </c>
      <c r="C260" s="35">
        <f t="shared" ref="C260:C262" si="96">ROUND(50000*1.58+A260*0.06879,0)</f>
        <v>330084</v>
      </c>
      <c r="D260" s="35">
        <f>ROUND(50000*1.63+A260*0.07111,0)</f>
        <v>341052</v>
      </c>
      <c r="E260" s="41">
        <f>+D260-C260</f>
        <v>10968</v>
      </c>
      <c r="F260" s="22">
        <f>+E260/C260</f>
        <v>3.3227905624022974E-2</v>
      </c>
      <c r="H260" s="23">
        <f>+B260</f>
        <v>0.1</v>
      </c>
      <c r="I260" s="38">
        <f>+D260</f>
        <v>341052</v>
      </c>
      <c r="J260" s="35">
        <f>ROUND(50000*1.76+A260*0.07675,0)</f>
        <v>368138</v>
      </c>
      <c r="K260" s="9">
        <f t="shared" ref="K260:K262" si="97">J260+A260*$I$43</f>
        <v>380652.00131682074</v>
      </c>
      <c r="L260" s="9">
        <f>+J260-I260</f>
        <v>27086</v>
      </c>
      <c r="M260" s="10">
        <f>+L260/I260</f>
        <v>7.9418974232668332E-2</v>
      </c>
      <c r="N260" s="11">
        <f t="shared" ref="N260:N262" si="98">K260-I260</f>
        <v>39600.001316820737</v>
      </c>
      <c r="O260" s="16">
        <f t="shared" ref="O260:O262" si="99">K260/I260-1</f>
        <v>0.11611132999314111</v>
      </c>
    </row>
    <row r="261" spans="1:15" ht="14.1" customHeight="1" x14ac:dyDescent="0.25">
      <c r="A261" s="18">
        <f t="shared" si="95"/>
        <v>5475000</v>
      </c>
      <c r="B261" s="20">
        <f>+B248</f>
        <v>0.15</v>
      </c>
      <c r="C261" s="35">
        <f t="shared" si="96"/>
        <v>455625</v>
      </c>
      <c r="D261" s="35">
        <f>ROUND(50000*1.63+A261*0.07111,0)</f>
        <v>470827</v>
      </c>
      <c r="E261" s="41">
        <f>+D261-C261</f>
        <v>15202</v>
      </c>
      <c r="F261" s="22">
        <f>+E261/C261</f>
        <v>3.3365157750342933E-2</v>
      </c>
      <c r="H261" s="23">
        <f>+B261</f>
        <v>0.15</v>
      </c>
      <c r="I261" s="38">
        <f>+D261</f>
        <v>470827</v>
      </c>
      <c r="J261" s="35">
        <f>ROUND(50000*1.76+A261*0.07675,0)</f>
        <v>508206</v>
      </c>
      <c r="K261" s="9">
        <f t="shared" si="97"/>
        <v>526977.00197523111</v>
      </c>
      <c r="L261" s="9">
        <f>+J261-I261</f>
        <v>37379</v>
      </c>
      <c r="M261" s="10">
        <f>+L261/I261</f>
        <v>7.9390094450828008E-2</v>
      </c>
      <c r="N261" s="11">
        <f t="shared" si="98"/>
        <v>56150.001975231105</v>
      </c>
      <c r="O261" s="16">
        <f t="shared" si="99"/>
        <v>0.11925824554503262</v>
      </c>
    </row>
    <row r="262" spans="1:15" ht="14.1" customHeight="1" x14ac:dyDescent="0.25">
      <c r="A262" s="18">
        <f t="shared" si="95"/>
        <v>7300000</v>
      </c>
      <c r="B262" s="20">
        <f>+B249</f>
        <v>0.2</v>
      </c>
      <c r="C262" s="35">
        <f t="shared" si="96"/>
        <v>581167</v>
      </c>
      <c r="D262" s="35">
        <f>ROUND(50000*1.63+A262*0.07111,0)</f>
        <v>600603</v>
      </c>
      <c r="E262" s="41">
        <f>+D262-C262</f>
        <v>19436</v>
      </c>
      <c r="F262" s="22">
        <f>+E262/C262</f>
        <v>3.3443055094318844E-2</v>
      </c>
      <c r="H262" s="23">
        <f>+B262</f>
        <v>0.2</v>
      </c>
      <c r="I262" s="38">
        <f>+D262</f>
        <v>600603</v>
      </c>
      <c r="J262" s="35">
        <f>ROUND(50000*1.76+A262*0.07675,0)</f>
        <v>648275</v>
      </c>
      <c r="K262" s="9">
        <f t="shared" si="97"/>
        <v>673303.00263364147</v>
      </c>
      <c r="L262" s="9">
        <f>+J262-I262</f>
        <v>47672</v>
      </c>
      <c r="M262" s="10">
        <f>+L262/I262</f>
        <v>7.9373562902616199E-2</v>
      </c>
      <c r="N262" s="11">
        <f t="shared" si="98"/>
        <v>72700.002633641474</v>
      </c>
      <c r="O262" s="16">
        <f t="shared" si="99"/>
        <v>0.121045020810155</v>
      </c>
    </row>
    <row r="263" spans="1:15" ht="14.1" customHeight="1" x14ac:dyDescent="0.25"/>
    <row r="265" spans="1:15" x14ac:dyDescent="0.25">
      <c r="D265" s="16"/>
    </row>
  </sheetData>
  <mergeCells count="143">
    <mergeCell ref="N170:O171"/>
    <mergeCell ref="N183:O184"/>
    <mergeCell ref="N198:O199"/>
    <mergeCell ref="N212:O213"/>
    <mergeCell ref="N229:O230"/>
    <mergeCell ref="N242:O243"/>
    <mergeCell ref="N255:O256"/>
    <mergeCell ref="L158:M158"/>
    <mergeCell ref="N46:O47"/>
    <mergeCell ref="L46:M47"/>
    <mergeCell ref="N59:O60"/>
    <mergeCell ref="N72:O73"/>
    <mergeCell ref="N87:O88"/>
    <mergeCell ref="N100:O101"/>
    <mergeCell ref="N113:O114"/>
    <mergeCell ref="N128:O129"/>
    <mergeCell ref="N142:O143"/>
    <mergeCell ref="N157:O158"/>
    <mergeCell ref="B4:F4"/>
    <mergeCell ref="H4:M4"/>
    <mergeCell ref="B6:C6"/>
    <mergeCell ref="H6:I6"/>
    <mergeCell ref="B2:F2"/>
    <mergeCell ref="H2:M2"/>
    <mergeCell ref="B31:F31"/>
    <mergeCell ref="H31:M31"/>
    <mergeCell ref="B32:C32"/>
    <mergeCell ref="B19:C19"/>
    <mergeCell ref="H19:I19"/>
    <mergeCell ref="B30:F30"/>
    <mergeCell ref="H30:M30"/>
    <mergeCell ref="B17:F17"/>
    <mergeCell ref="H17:M17"/>
    <mergeCell ref="B18:F18"/>
    <mergeCell ref="H18:M18"/>
    <mergeCell ref="B56:F56"/>
    <mergeCell ref="H56:M56"/>
    <mergeCell ref="B57:F57"/>
    <mergeCell ref="H57:M57"/>
    <mergeCell ref="B45:F45"/>
    <mergeCell ref="H45:M45"/>
    <mergeCell ref="B46:C46"/>
    <mergeCell ref="H46:I46"/>
    <mergeCell ref="B42:F42"/>
    <mergeCell ref="H42:M42"/>
    <mergeCell ref="B44:F44"/>
    <mergeCell ref="H44:M44"/>
    <mergeCell ref="B82:F82"/>
    <mergeCell ref="H82:M82"/>
    <mergeCell ref="B84:F84"/>
    <mergeCell ref="H84:M84"/>
    <mergeCell ref="B70:F70"/>
    <mergeCell ref="H70:M70"/>
    <mergeCell ref="B72:C72"/>
    <mergeCell ref="H72:I72"/>
    <mergeCell ref="B59:C59"/>
    <mergeCell ref="H59:I59"/>
    <mergeCell ref="B69:F69"/>
    <mergeCell ref="H69:M69"/>
    <mergeCell ref="B100:C100"/>
    <mergeCell ref="H100:I100"/>
    <mergeCell ref="B110:F110"/>
    <mergeCell ref="H110:M110"/>
    <mergeCell ref="B97:F97"/>
    <mergeCell ref="H97:M97"/>
    <mergeCell ref="B98:F98"/>
    <mergeCell ref="H98:M98"/>
    <mergeCell ref="B85:F85"/>
    <mergeCell ref="H85:M85"/>
    <mergeCell ref="B87:C87"/>
    <mergeCell ref="H87:I87"/>
    <mergeCell ref="B126:F126"/>
    <mergeCell ref="H126:M126"/>
    <mergeCell ref="B128:C128"/>
    <mergeCell ref="H128:I128"/>
    <mergeCell ref="B123:F123"/>
    <mergeCell ref="H123:M123"/>
    <mergeCell ref="B125:F125"/>
    <mergeCell ref="H125:M125"/>
    <mergeCell ref="B111:F111"/>
    <mergeCell ref="H111:M111"/>
    <mergeCell ref="B113:C113"/>
    <mergeCell ref="H113:I113"/>
    <mergeCell ref="B154:F154"/>
    <mergeCell ref="H154:M154"/>
    <mergeCell ref="B155:F155"/>
    <mergeCell ref="H155:M155"/>
    <mergeCell ref="B142:C142"/>
    <mergeCell ref="H142:I142"/>
    <mergeCell ref="B152:F152"/>
    <mergeCell ref="H152:M152"/>
    <mergeCell ref="B139:F139"/>
    <mergeCell ref="H139:M139"/>
    <mergeCell ref="B140:F140"/>
    <mergeCell ref="H140:M140"/>
    <mergeCell ref="B180:F180"/>
    <mergeCell ref="H180:M180"/>
    <mergeCell ref="B181:F181"/>
    <mergeCell ref="H181:M181"/>
    <mergeCell ref="B168:F168"/>
    <mergeCell ref="H168:M168"/>
    <mergeCell ref="B170:C170"/>
    <mergeCell ref="H170:I170"/>
    <mergeCell ref="B157:C157"/>
    <mergeCell ref="H157:I157"/>
    <mergeCell ref="B167:F167"/>
    <mergeCell ref="H167:M167"/>
    <mergeCell ref="B198:C198"/>
    <mergeCell ref="H198:I198"/>
    <mergeCell ref="B209:F209"/>
    <mergeCell ref="H209:M209"/>
    <mergeCell ref="B195:F195"/>
    <mergeCell ref="H195:M195"/>
    <mergeCell ref="B196:F196"/>
    <mergeCell ref="H196:M196"/>
    <mergeCell ref="B183:C183"/>
    <mergeCell ref="H183:I183"/>
    <mergeCell ref="B193:F193"/>
    <mergeCell ref="H193:M193"/>
    <mergeCell ref="B227:F227"/>
    <mergeCell ref="H227:M227"/>
    <mergeCell ref="B229:C229"/>
    <mergeCell ref="H229:I229"/>
    <mergeCell ref="B224:F224"/>
    <mergeCell ref="H224:M224"/>
    <mergeCell ref="B226:F226"/>
    <mergeCell ref="H226:M226"/>
    <mergeCell ref="B210:F210"/>
    <mergeCell ref="H210:M210"/>
    <mergeCell ref="B212:C212"/>
    <mergeCell ref="H212:I212"/>
    <mergeCell ref="B253:F253"/>
    <mergeCell ref="H253:M253"/>
    <mergeCell ref="B255:C255"/>
    <mergeCell ref="H255:I255"/>
    <mergeCell ref="B242:C242"/>
    <mergeCell ref="H242:I242"/>
    <mergeCell ref="B252:F252"/>
    <mergeCell ref="H252:M252"/>
    <mergeCell ref="B239:F239"/>
    <mergeCell ref="H239:M239"/>
    <mergeCell ref="B240:F240"/>
    <mergeCell ref="H240:M240"/>
  </mergeCells>
  <pageMargins left="0.7" right="0.7" top="0.75" bottom="0.75" header="0.3" footer="0.3"/>
  <pageSetup scale="86" orientation="portrait" r:id="rId1"/>
  <rowBreaks count="6" manualBreakCount="6">
    <brk id="41" max="16383" man="1"/>
    <brk id="81" max="16383" man="1"/>
    <brk id="122" max="16383" man="1"/>
    <brk id="151" max="16383" man="1"/>
    <brk id="192" max="16383" man="1"/>
    <brk id="223" max="16383" man="1"/>
  </rowBreaks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1CC0F58A31E342884B937D94913CE1" ma:contentTypeVersion="1" ma:contentTypeDescription="Create a new document." ma:contentTypeScope="" ma:versionID="9629b649ea0d514bbd082ae469f3993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052582-C0D6-4CBB-B3BF-3D112D47063B}"/>
</file>

<file path=customXml/itemProps2.xml><?xml version="1.0" encoding="utf-8"?>
<ds:datastoreItem xmlns:ds="http://schemas.openxmlformats.org/officeDocument/2006/customXml" ds:itemID="{FAAACC97-76DB-4F43-8590-965802D4F626}"/>
</file>

<file path=customXml/itemProps3.xml><?xml version="1.0" encoding="utf-8"?>
<ds:datastoreItem xmlns:ds="http://schemas.openxmlformats.org/officeDocument/2006/customXml" ds:itemID="{8A2A8DB2-58AB-48B9-B749-55142C85E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2017-09-05T20:15:55Z</dcterms:created>
  <dcterms:modified xsi:type="dcterms:W3CDTF">2017-11-15T22:48:58Z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0x010100761CC0F58A31E342884B937D94913CE1</vt:lpwstr>
  </property>
</Properties>
</file>